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bt Snowball" state="visible" r:id="rId4"/>
  </sheets>
  <calcPr calcId="171027"/>
</workbook>
</file>

<file path=xl/sharedStrings.xml><?xml version="1.0" encoding="utf-8"?>
<sst xmlns="http://schemas.openxmlformats.org/spreadsheetml/2006/main" count="32" uniqueCount="24">
  <si>
    <t>Atlas Debt Snowball Template</t>
  </si>
  <si>
    <t>Enter your debts below (up to 10). Snowball method: smallest balance first.</t>
  </si>
  <si>
    <t>Debt name</t>
  </si>
  <si>
    <t>Balance</t>
  </si>
  <si>
    <t>APR (%)</t>
  </si>
  <si>
    <t>Minimum payment</t>
  </si>
  <si>
    <t>Payoff order (smallest → largest)</t>
  </si>
  <si>
    <t>Payoff month #</t>
  </si>
  <si>
    <t>Example: Credit Card</t>
  </si>
  <si>
    <t/>
  </si>
  <si>
    <t>Extra monthly payment</t>
  </si>
  <si>
    <t>Start month (1st of month)</t>
  </si>
  <si>
    <t>Summary</t>
  </si>
  <si>
    <t>Months to debt-free</t>
  </si>
  <si>
    <t>Total interest paid</t>
  </si>
  <si>
    <t>Debt-free date</t>
  </si>
  <si>
    <t>Month-by-month schedule (snowball order, smallest balance first)</t>
  </si>
  <si>
    <t>Month #</t>
  </si>
  <si>
    <t>Date</t>
  </si>
  <si>
    <t>Total balance</t>
  </si>
  <si>
    <t>Interest paid</t>
  </si>
  <si>
    <t>Payment made</t>
  </si>
  <si>
    <t>Built by Atlas — atlas-budget.com/debt-snowball-calculator</t>
  </si>
  <si>
    <t>This template uses the debt snowball method only (smallest balance first). It does not compute the avalanche (highest-interest-first) method.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</si>
</sst>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.00"/>
    <numFmt numFmtId="165" formatCode="0.00&quot;%&quot;"/>
    <numFmt numFmtId="166" formatCode="mmm yyyy"/>
  </numFmts>
  <fonts count="10" x14ac:knownFonts="1">
    <font>
      <color theme="1"/>
      <family val="2"/>
      <scheme val="minor"/>
      <sz val="11"/>
      <name val="Calibri"/>
    </font>
    <font>
      <b/>
      <color rgb="FF1E3A5F"/>
      <sz val="16"/>
    </font>
    <font>
      <i/>
      <sz val="10"/>
    </font>
    <font>
      <b/>
      <color rgb="FFFFFFFF"/>
    </font>
    <font>
      <b/>
    </font>
    <font>
      <b/>
      <color rgb="FF1E3A5F"/>
      <sz val="13"/>
    </font>
    <font>
      <b/>
      <color rgb="FF1E3A5F"/>
      <sz val="12"/>
    </font>
    <font>
      <b/>
      <sz val="9"/>
    </font>
    <font>
      <i/>
      <color rgb="FF6B7280"/>
      <sz val="10"/>
    </font>
    <font>
      <i/>
      <color rgb="FF6B7280"/>
      <sz val="9"/>
    </font>
  </fonts>
  <fills count="3">
    <fill>
      <patternFill patternType="none"/>
    </fill>
    <fill>
      <patternFill patternType="gray125"/>
    </fill>
    <fill>
      <patternFill patternType="solid">
        <fgColor rgb="FF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66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70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5" width="16" customWidth="1"/>
    <col min="6" max="6" width="3" customWidth="1"/>
    <col min="7" max="7" width="24" customWidth="1"/>
    <col min="8" max="8" width="18" customWidth="1"/>
  </cols>
  <sheetData>
    <row r="1" spans="1:4" x14ac:dyDescent="0.25">
      <c r="A1" s="1" t="s">
        <v>0</v>
      </c>
      <c r="B1" s="1"/>
      <c r="C1" s="1"/>
      <c r="D1" s="1"/>
    </row>
    <row r="2" spans="1:1" x14ac:dyDescent="0.25">
      <c r="A2" s="2" t="s">
        <v>1</v>
      </c>
    </row>
    <row r="4" spans="1:8" x14ac:dyDescent="0.25">
      <c r="A4" s="3" t="s">
        <v>2</v>
      </c>
      <c r="B4" s="3" t="s">
        <v>3</v>
      </c>
      <c r="C4" s="3" t="s">
        <v>4</v>
      </c>
      <c r="D4" s="3" t="s">
        <v>5</v>
      </c>
      <c r="G4" s="3" t="s">
        <v>6</v>
      </c>
      <c r="H4" s="3" t="s">
        <v>7</v>
      </c>
    </row>
    <row r="5" spans="1:13" x14ac:dyDescent="0.25">
      <c r="A5" t="s">
        <v>8</v>
      </c>
      <c r="B5" s="4">
        <v>4200</v>
      </c>
      <c r="C5" s="5">
        <v>22.9</v>
      </c>
      <c r="D5" s="4">
        <v>110</v>
      </c>
      <c r="G5">
        <f>IFERROR(INDEX($A$5:$A$14,$M5),"")</f>
      </c>
      <c r="H5">
        <f>IF($G$5="","",IFERROR(MATCH(TRUE,G$27:G$266&lt;=0.01,0)-1,"—"))</f>
      </c>
      <c r="I5">
        <f>IFERROR(INDEX($B$5:$B$14,$M5),"")</f>
      </c>
      <c r="J5">
        <f>IFERROR(INDEX($C$5:$C$14,$M5),"")</f>
      </c>
      <c r="K5">
        <f>IFERROR(INDEX($D$5:$D$14,$M5),"")</f>
      </c>
      <c r="M5">
        <f>IFERROR(MATCH(SMALL(IF($B$5:$B$14&lt;&gt;"",$B$5:$B$14+ROW($B$5:$B$14)/100000),1),IF($B$5:$B$14&lt;&gt;"",$B$5:$B$14+ROW($B$5:$B$14)/100000),0),"")</f>
      </c>
    </row>
    <row r="6" spans="1:13" x14ac:dyDescent="0.25">
      <c r="A6" t="s">
        <v>9</v>
      </c>
      <c r="B6" s="4"/>
      <c r="C6" s="5"/>
      <c r="D6" s="4"/>
      <c r="G6">
        <f>IFERROR(INDEX($A$5:$A$14,$M6),"")</f>
      </c>
      <c r="H6">
        <f>IF($G$6="","",IFERROR(MATCH(TRUE,H$27:H$266&lt;=0.01,0)-1,"—"))</f>
      </c>
      <c r="I6">
        <f>IFERROR(INDEX($B$5:$B$14,$M6),"")</f>
      </c>
      <c r="J6">
        <f>IFERROR(INDEX($C$5:$C$14,$M6),"")</f>
      </c>
      <c r="K6">
        <f>IFERROR(INDEX($D$5:$D$14,$M6),"")</f>
      </c>
      <c r="M6">
        <f>IFERROR(MATCH(SMALL(IF($B$5:$B$14&lt;&gt;"",$B$5:$B$14+ROW($B$5:$B$14)/100000),2),IF($B$5:$B$14&lt;&gt;"",$B$5:$B$14+ROW($B$5:$B$14)/100000),0),"")</f>
      </c>
    </row>
    <row r="7" spans="1:13" x14ac:dyDescent="0.25">
      <c r="A7" t="s">
        <v>9</v>
      </c>
      <c r="B7" s="4"/>
      <c r="C7" s="5"/>
      <c r="D7" s="4"/>
      <c r="G7">
        <f>IFERROR(INDEX($A$5:$A$14,$M7),"")</f>
      </c>
      <c r="H7">
        <f>IF($G$7="","",IFERROR(MATCH(TRUE,I$27:I$266&lt;=0.01,0)-1,"—"))</f>
      </c>
      <c r="I7">
        <f>IFERROR(INDEX($B$5:$B$14,$M7),"")</f>
      </c>
      <c r="J7">
        <f>IFERROR(INDEX($C$5:$C$14,$M7),"")</f>
      </c>
      <c r="K7">
        <f>IFERROR(INDEX($D$5:$D$14,$M7),"")</f>
      </c>
      <c r="M7">
        <f>IFERROR(MATCH(SMALL(IF($B$5:$B$14&lt;&gt;"",$B$5:$B$14+ROW($B$5:$B$14)/100000),3),IF($B$5:$B$14&lt;&gt;"",$B$5:$B$14+ROW($B$5:$B$14)/100000),0),"")</f>
      </c>
    </row>
    <row r="8" spans="1:13" x14ac:dyDescent="0.25">
      <c r="A8" t="s">
        <v>9</v>
      </c>
      <c r="B8" s="4"/>
      <c r="C8" s="5"/>
      <c r="D8" s="4"/>
      <c r="G8">
        <f>IFERROR(INDEX($A$5:$A$14,$M8),"")</f>
      </c>
      <c r="H8">
        <f>IF($G$8="","",IFERROR(MATCH(TRUE,J$27:J$266&lt;=0.01,0)-1,"—"))</f>
      </c>
      <c r="I8">
        <f>IFERROR(INDEX($B$5:$B$14,$M8),"")</f>
      </c>
      <c r="J8">
        <f>IFERROR(INDEX($C$5:$C$14,$M8),"")</f>
      </c>
      <c r="K8">
        <f>IFERROR(INDEX($D$5:$D$14,$M8),"")</f>
      </c>
      <c r="M8">
        <f>IFERROR(MATCH(SMALL(IF($B$5:$B$14&lt;&gt;"",$B$5:$B$14+ROW($B$5:$B$14)/100000),4),IF($B$5:$B$14&lt;&gt;"",$B$5:$B$14+ROW($B$5:$B$14)/100000),0),"")</f>
      </c>
    </row>
    <row r="9" spans="1:13" x14ac:dyDescent="0.25">
      <c r="A9" t="s">
        <v>9</v>
      </c>
      <c r="B9" s="4"/>
      <c r="C9" s="5"/>
      <c r="D9" s="4"/>
      <c r="G9">
        <f>IFERROR(INDEX($A$5:$A$14,$M9),"")</f>
      </c>
      <c r="H9">
        <f>IF($G$9="","",IFERROR(MATCH(TRUE,K$27:K$266&lt;=0.01,0)-1,"—"))</f>
      </c>
      <c r="I9">
        <f>IFERROR(INDEX($B$5:$B$14,$M9),"")</f>
      </c>
      <c r="J9">
        <f>IFERROR(INDEX($C$5:$C$14,$M9),"")</f>
      </c>
      <c r="K9">
        <f>IFERROR(INDEX($D$5:$D$14,$M9),"")</f>
      </c>
      <c r="M9">
        <f>IFERROR(MATCH(SMALL(IF($B$5:$B$14&lt;&gt;"",$B$5:$B$14+ROW($B$5:$B$14)/100000),5),IF($B$5:$B$14&lt;&gt;"",$B$5:$B$14+ROW($B$5:$B$14)/100000),0),"")</f>
      </c>
    </row>
    <row r="10" spans="1:13" x14ac:dyDescent="0.25">
      <c r="A10" t="s">
        <v>9</v>
      </c>
      <c r="B10" s="4"/>
      <c r="C10" s="5"/>
      <c r="D10" s="4"/>
      <c r="G10">
        <f>IFERROR(INDEX($A$5:$A$14,$M10),"")</f>
      </c>
      <c r="H10">
        <f>IF($G$10="","",IFERROR(MATCH(TRUE,L$27:L$266&lt;=0.01,0)-1,"—"))</f>
      </c>
      <c r="I10">
        <f>IFERROR(INDEX($B$5:$B$14,$M10),"")</f>
      </c>
      <c r="J10">
        <f>IFERROR(INDEX($C$5:$C$14,$M10),"")</f>
      </c>
      <c r="K10">
        <f>IFERROR(INDEX($D$5:$D$14,$M10),"")</f>
      </c>
      <c r="M10">
        <f>IFERROR(MATCH(SMALL(IF($B$5:$B$14&lt;&gt;"",$B$5:$B$14+ROW($B$5:$B$14)/100000),6),IF($B$5:$B$14&lt;&gt;"",$B$5:$B$14+ROW($B$5:$B$14)/100000),0),"")</f>
      </c>
    </row>
    <row r="11" spans="1:13" x14ac:dyDescent="0.25">
      <c r="A11" t="s">
        <v>9</v>
      </c>
      <c r="B11" s="4"/>
      <c r="C11" s="5"/>
      <c r="D11" s="4"/>
      <c r="G11">
        <f>IFERROR(INDEX($A$5:$A$14,$M11),"")</f>
      </c>
      <c r="H11">
        <f>IF($G$11="","",IFERROR(MATCH(TRUE,M$27:M$266&lt;=0.01,0)-1,"—"))</f>
      </c>
      <c r="I11">
        <f>IFERROR(INDEX($B$5:$B$14,$M11),"")</f>
      </c>
      <c r="J11">
        <f>IFERROR(INDEX($C$5:$C$14,$M11),"")</f>
      </c>
      <c r="K11">
        <f>IFERROR(INDEX($D$5:$D$14,$M11),"")</f>
      </c>
      <c r="M11">
        <f>IFERROR(MATCH(SMALL(IF($B$5:$B$14&lt;&gt;"",$B$5:$B$14+ROW($B$5:$B$14)/100000),7),IF($B$5:$B$14&lt;&gt;"",$B$5:$B$14+ROW($B$5:$B$14)/100000),0),"")</f>
      </c>
    </row>
    <row r="12" spans="1:13" x14ac:dyDescent="0.25">
      <c r="A12" t="s">
        <v>9</v>
      </c>
      <c r="B12" s="4"/>
      <c r="C12" s="5"/>
      <c r="D12" s="4"/>
      <c r="G12">
        <f>IFERROR(INDEX($A$5:$A$14,$M12),"")</f>
      </c>
      <c r="H12">
        <f>IF($G$12="","",IFERROR(MATCH(TRUE,N$27:N$266&lt;=0.01,0)-1,"—"))</f>
      </c>
      <c r="I12">
        <f>IFERROR(INDEX($B$5:$B$14,$M12),"")</f>
      </c>
      <c r="J12">
        <f>IFERROR(INDEX($C$5:$C$14,$M12),"")</f>
      </c>
      <c r="K12">
        <f>IFERROR(INDEX($D$5:$D$14,$M12),"")</f>
      </c>
      <c r="M12">
        <f>IFERROR(MATCH(SMALL(IF($B$5:$B$14&lt;&gt;"",$B$5:$B$14+ROW($B$5:$B$14)/100000),8),IF($B$5:$B$14&lt;&gt;"",$B$5:$B$14+ROW($B$5:$B$14)/100000),0),"")</f>
      </c>
    </row>
    <row r="13" spans="1:13" x14ac:dyDescent="0.25">
      <c r="A13" t="s">
        <v>9</v>
      </c>
      <c r="B13" s="4"/>
      <c r="C13" s="5"/>
      <c r="D13" s="4"/>
      <c r="G13">
        <f>IFERROR(INDEX($A$5:$A$14,$M13),"")</f>
      </c>
      <c r="H13">
        <f>IF($G$13="","",IFERROR(MATCH(TRUE,O$27:O$266&lt;=0.01,0)-1,"—"))</f>
      </c>
      <c r="I13">
        <f>IFERROR(INDEX($B$5:$B$14,$M13),"")</f>
      </c>
      <c r="J13">
        <f>IFERROR(INDEX($C$5:$C$14,$M13),"")</f>
      </c>
      <c r="K13">
        <f>IFERROR(INDEX($D$5:$D$14,$M13),"")</f>
      </c>
      <c r="M13">
        <f>IFERROR(MATCH(SMALL(IF($B$5:$B$14&lt;&gt;"",$B$5:$B$14+ROW($B$5:$B$14)/100000),9),IF($B$5:$B$14&lt;&gt;"",$B$5:$B$14+ROW($B$5:$B$14)/100000),0),"")</f>
      </c>
    </row>
    <row r="14" spans="1:13" x14ac:dyDescent="0.25">
      <c r="A14" t="s">
        <v>9</v>
      </c>
      <c r="B14" s="4"/>
      <c r="C14" s="5"/>
      <c r="D14" s="4"/>
      <c r="G14">
        <f>IFERROR(INDEX($A$5:$A$14,$M14),"")</f>
      </c>
      <c r="H14">
        <f>IF($G$14="","",IFERROR(MATCH(TRUE,P$27:P$266&lt;=0.01,0)-1,"—"))</f>
      </c>
      <c r="I14">
        <f>IFERROR(INDEX($B$5:$B$14,$M14),"")</f>
      </c>
      <c r="J14">
        <f>IFERROR(INDEX($C$5:$C$14,$M14),"")</f>
      </c>
      <c r="K14">
        <f>IFERROR(INDEX($D$5:$D$14,$M14),"")</f>
      </c>
      <c r="M14">
        <f>IFERROR(MATCH(SMALL(IF($B$5:$B$14&lt;&gt;"",$B$5:$B$14+ROW($B$5:$B$14)/100000),10),IF($B$5:$B$14&lt;&gt;"",$B$5:$B$14+ROW($B$5:$B$14)/100000),0),"")</f>
      </c>
    </row>
    <row r="16" spans="1:2" x14ac:dyDescent="0.25">
      <c r="A16" s="6" t="s">
        <v>10</v>
      </c>
      <c r="B16" s="4">
        <v>200</v>
      </c>
    </row>
    <row r="17" spans="1:2" x14ac:dyDescent="0.25">
      <c r="A17" s="6" t="s">
        <v>11</v>
      </c>
      <c r="B17" s="7">
        <v>46217.68003555556</v>
      </c>
    </row>
    <row r="19" spans="1:1" x14ac:dyDescent="0.25">
      <c r="A19" s="8" t="s">
        <v>12</v>
      </c>
    </row>
    <row r="20" spans="1:2" x14ac:dyDescent="0.25">
      <c r="A20" t="s">
        <v>13</v>
      </c>
      <c r="B20">
        <f>IFERROR(MATCH(TRUE,$C$27:$C$266&lt;=0.01,0)-1,"Never (increase extra payment)")</f>
      </c>
    </row>
    <row r="21" spans="1:2" x14ac:dyDescent="0.25">
      <c r="A21" t="s">
        <v>14</v>
      </c>
      <c r="B21" s="4">
        <f>SUM($D$27:$D$266)</f>
      </c>
    </row>
    <row r="22" spans="1:2" x14ac:dyDescent="0.25">
      <c r="A22" t="s">
        <v>15</v>
      </c>
      <c r="B22" s="7">
        <f>IFERROR(EDATE($B$17,B20),"—")</f>
      </c>
    </row>
    <row r="25" spans="1:1" x14ac:dyDescent="0.25">
      <c r="A25" s="9" t="s">
        <v>16</v>
      </c>
    </row>
    <row r="26" spans="1:16" x14ac:dyDescent="0.25">
      <c r="A26" s="3" t="s">
        <v>17</v>
      </c>
      <c r="B26" s="3" t="s">
        <v>18</v>
      </c>
      <c r="C26" s="3" t="s">
        <v>19</v>
      </c>
      <c r="D26" s="3" t="s">
        <v>20</v>
      </c>
      <c r="E26" s="3" t="s">
        <v>21</v>
      </c>
      <c r="G26" s="10">
        <f>$G$5</f>
      </c>
      <c r="H26" s="10">
        <f>$G$6</f>
      </c>
      <c r="I26" s="10">
        <f>$G$7</f>
      </c>
      <c r="J26" s="10">
        <f>$G$8</f>
      </c>
      <c r="K26" s="10">
        <f>$G$9</f>
      </c>
      <c r="L26" s="10">
        <f>$G$10</f>
      </c>
      <c r="M26" s="10">
        <f>$G$11</f>
      </c>
      <c r="N26" s="10">
        <f>$G$12</f>
      </c>
      <c r="O26" s="10">
        <f>$G$13</f>
      </c>
      <c r="P26" s="10">
        <f>$G$14</f>
      </c>
    </row>
    <row r="27" spans="1:16" x14ac:dyDescent="0.25">
      <c r="A27">
        <v>0</v>
      </c>
      <c r="B27" s="7">
        <f>EDATE($B$17,0)</f>
      </c>
      <c r="C27" s="4">
        <f>SUM(G27:P27)</f>
      </c>
      <c r="D27" s="4">
        <v>0</v>
      </c>
      <c r="E27" s="4">
        <v>0</v>
      </c>
      <c r="G27" s="4">
        <f>IF($I$5&lt;&gt;"",$I$5,0)</f>
      </c>
      <c r="H27" s="4">
        <f>IF($I$6&lt;&gt;"",$I$6,0)</f>
      </c>
      <c r="I27" s="4">
        <f>IF($I$7&lt;&gt;"",$I$7,0)</f>
      </c>
      <c r="J27" s="4">
        <f>IF($I$8&lt;&gt;"",$I$8,0)</f>
      </c>
      <c r="K27" s="4">
        <f>IF($I$9&lt;&gt;"",$I$9,0)</f>
      </c>
      <c r="L27" s="4">
        <f>IF($I$10&lt;&gt;"",$I$10,0)</f>
      </c>
      <c r="M27" s="4">
        <f>IF($I$11&lt;&gt;"",$I$11,0)</f>
      </c>
      <c r="N27" s="4">
        <f>IF($I$12&lt;&gt;"",$I$12,0)</f>
      </c>
      <c r="O27" s="4">
        <f>IF($I$13&lt;&gt;"",$I$13,0)</f>
      </c>
      <c r="P27" s="4">
        <f>IF($I$14&lt;&gt;"",$I$14,0)</f>
      </c>
    </row>
    <row r="28" spans="1:66" x14ac:dyDescent="0.25">
      <c r="A28">
        <v>1</v>
      </c>
      <c r="B28" s="7">
        <f>EDATE($B$17,1)</f>
      </c>
      <c r="C28" s="4">
        <f>SUM(G28:P28)</f>
      </c>
      <c r="D28" s="4">
        <f>SUM(Q28:Z28)</f>
      </c>
      <c r="E28" s="4">
        <f>SUM(AA28:AJ28)+SUM(BE28:BN28)</f>
      </c>
      <c r="G28" s="4">
        <f>MAX(0,AK28-BE28)</f>
      </c>
      <c r="H28" s="4">
        <f>MAX(0,AL28-BF28)</f>
      </c>
      <c r="I28" s="4">
        <f>MAX(0,AM28-BG28)</f>
      </c>
      <c r="J28" s="4">
        <f>MAX(0,AN28-BH28)</f>
      </c>
      <c r="K28" s="4">
        <f>MAX(0,AO28-BI28)</f>
      </c>
      <c r="L28" s="4">
        <f>MAX(0,AP28-BJ28)</f>
      </c>
      <c r="M28" s="4">
        <f>MAX(0,AQ28-BK28)</f>
      </c>
      <c r="N28" s="4">
        <f>MAX(0,AR28-BL28)</f>
      </c>
      <c r="O28" s="4">
        <f>MAX(0,AS28-BM28)</f>
      </c>
      <c r="P28" s="4">
        <f>MAX(0,AT28-BN28)</f>
      </c>
      <c r="Q28" s="4">
        <f>IF(G27&gt;0,G27*($J$5/100/12),0)</f>
      </c>
      <c r="R28" s="4">
        <f>IF(H27&gt;0,H27*($J$6/100/12),0)</f>
      </c>
      <c r="S28" s="4">
        <f>IF(I27&gt;0,I27*($J$7/100/12),0)</f>
      </c>
      <c r="T28" s="4">
        <f>IF(J27&gt;0,J27*($J$8/100/12),0)</f>
      </c>
      <c r="U28" s="4">
        <f>IF(K27&gt;0,K27*($J$9/100/12),0)</f>
      </c>
      <c r="V28" s="4">
        <f>IF(L27&gt;0,L27*($J$10/100/12),0)</f>
      </c>
      <c r="W28" s="4">
        <f>IF(M27&gt;0,M27*($J$11/100/12),0)</f>
      </c>
      <c r="X28" s="4">
        <f>IF(N27&gt;0,N27*($J$12/100/12),0)</f>
      </c>
      <c r="Y28" s="4">
        <f>IF(O27&gt;0,O27*($J$13/100/12),0)</f>
      </c>
      <c r="Z28" s="4">
        <f>IF(P27&gt;0,P27*($J$14/100/12),0)</f>
      </c>
      <c r="AA28" s="4">
        <f>IF(G27&lt;=0,0,MIN($K$5,(G27+Q28)))</f>
      </c>
      <c r="AB28" s="4">
        <f>IF(H27&lt;=0,0,MIN($K$6,(H27+R28)))</f>
      </c>
      <c r="AC28" s="4">
        <f>IF(I27&lt;=0,0,MIN($K$7,(I27+S28)))</f>
      </c>
      <c r="AD28" s="4">
        <f>IF(J27&lt;=0,0,MIN($K$8,(J27+T28)))</f>
      </c>
      <c r="AE28" s="4">
        <f>IF(K27&lt;=0,0,MIN($K$9,(K27+U28)))</f>
      </c>
      <c r="AF28" s="4">
        <f>IF(L27&lt;=0,0,MIN($K$10,(L27+V28)))</f>
      </c>
      <c r="AG28" s="4">
        <f>IF(M27&lt;=0,0,MIN($K$11,(M27+W28)))</f>
      </c>
      <c r="AH28" s="4">
        <f>IF(N27&lt;=0,0,MIN($K$12,(N27+X28)))</f>
      </c>
      <c r="AI28" s="4">
        <f>IF(O27&lt;=0,0,MIN($K$13,(O27+Y28)))</f>
      </c>
      <c r="AJ28" s="4">
        <f>IF(P27&lt;=0,0,MIN($K$14,(P27+Z28)))</f>
      </c>
      <c r="AK28" s="4">
        <f>(G27+Q28)-AA28</f>
      </c>
      <c r="AL28" s="4">
        <f>(H27+R28)-AB28</f>
      </c>
      <c r="AM28" s="4">
        <f>(I27+S28)-AC28</f>
      </c>
      <c r="AN28" s="4">
        <f>(J27+T28)-AD28</f>
      </c>
      <c r="AO28" s="4">
        <f>(K27+U28)-AE28</f>
      </c>
      <c r="AP28" s="4">
        <f>(L27+V28)-AF28</f>
      </c>
      <c r="AQ28" s="4">
        <f>(M27+W28)-AG28</f>
      </c>
      <c r="AR28" s="4">
        <f>(N27+X28)-AH28</f>
      </c>
      <c r="AS28" s="4">
        <f>(O27+Y28)-AI28</f>
      </c>
      <c r="AT28" s="4">
        <f>(P27+Z28)-AJ28</f>
      </c>
      <c r="AU28" s="4">
        <f>$B$16+SUM($K$5:$K$14)-SUM(AA28:AJ28)</f>
      </c>
      <c r="AV28" s="4">
        <f>AU28-BE28</f>
      </c>
      <c r="AW28" s="4">
        <f>AV28-BF28</f>
      </c>
      <c r="AX28" s="4">
        <f>AW28-BG28</f>
      </c>
      <c r="AY28" s="4">
        <f>AX28-BH28</f>
      </c>
      <c r="AZ28" s="4">
        <f>AY28-BI28</f>
      </c>
      <c r="BA28" s="4">
        <f>AZ28-BJ28</f>
      </c>
      <c r="BB28" s="4">
        <f>BA28-BK28</f>
      </c>
      <c r="BC28" s="4">
        <f>BB28-BL28</f>
      </c>
      <c r="BD28" s="4">
        <f>BC28-BM28</f>
      </c>
      <c r="BE28" s="4">
        <f>IF(G27&lt;=0,0,MIN(AU28,AK28))</f>
      </c>
      <c r="BF28" s="4">
        <f>IF(H27&lt;=0,0,MIN(AV28,AL28))</f>
      </c>
      <c r="BG28" s="4">
        <f>IF(I27&lt;=0,0,MIN(AW28,AM28))</f>
      </c>
      <c r="BH28" s="4">
        <f>IF(J27&lt;=0,0,MIN(AX28,AN28))</f>
      </c>
      <c r="BI28" s="4">
        <f>IF(K27&lt;=0,0,MIN(AY28,AO28))</f>
      </c>
      <c r="BJ28" s="4">
        <f>IF(L27&lt;=0,0,MIN(AZ28,AP28))</f>
      </c>
      <c r="BK28" s="4">
        <f>IF(M27&lt;=0,0,MIN(BA28,AQ28))</f>
      </c>
      <c r="BL28" s="4">
        <f>IF(N27&lt;=0,0,MIN(BB28,AR28))</f>
      </c>
      <c r="BM28" s="4">
        <f>IF(O27&lt;=0,0,MIN(BC28,AS28))</f>
      </c>
      <c r="BN28" s="4">
        <f>IF(P27&lt;=0,0,MIN(BD28,AT28))</f>
      </c>
    </row>
    <row r="29" spans="1:66" x14ac:dyDescent="0.25">
      <c r="A29">
        <v>2</v>
      </c>
      <c r="B29" s="7">
        <f>EDATE($B$17,2)</f>
      </c>
      <c r="C29" s="4">
        <f>SUM(G29:P29)</f>
      </c>
      <c r="D29" s="4">
        <f>SUM(Q29:Z29)</f>
      </c>
      <c r="E29" s="4">
        <f>SUM(AA29:AJ29)+SUM(BE29:BN29)</f>
      </c>
      <c r="G29" s="4">
        <f>MAX(0,AK29-BE29)</f>
      </c>
      <c r="H29" s="4">
        <f>MAX(0,AL29-BF29)</f>
      </c>
      <c r="I29" s="4">
        <f>MAX(0,AM29-BG29)</f>
      </c>
      <c r="J29" s="4">
        <f>MAX(0,AN29-BH29)</f>
      </c>
      <c r="K29" s="4">
        <f>MAX(0,AO29-BI29)</f>
      </c>
      <c r="L29" s="4">
        <f>MAX(0,AP29-BJ29)</f>
      </c>
      <c r="M29" s="4">
        <f>MAX(0,AQ29-BK29)</f>
      </c>
      <c r="N29" s="4">
        <f>MAX(0,AR29-BL29)</f>
      </c>
      <c r="O29" s="4">
        <f>MAX(0,AS29-BM29)</f>
      </c>
      <c r="P29" s="4">
        <f>MAX(0,AT29-BN29)</f>
      </c>
      <c r="Q29" s="4">
        <f>IF(G28&gt;0,G28*($J$5/100/12),0)</f>
      </c>
      <c r="R29" s="4">
        <f>IF(H28&gt;0,H28*($J$6/100/12),0)</f>
      </c>
      <c r="S29" s="4">
        <f>IF(I28&gt;0,I28*($J$7/100/12),0)</f>
      </c>
      <c r="T29" s="4">
        <f>IF(J28&gt;0,J28*($J$8/100/12),0)</f>
      </c>
      <c r="U29" s="4">
        <f>IF(K28&gt;0,K28*($J$9/100/12),0)</f>
      </c>
      <c r="V29" s="4">
        <f>IF(L28&gt;0,L28*($J$10/100/12),0)</f>
      </c>
      <c r="W29" s="4">
        <f>IF(M28&gt;0,M28*($J$11/100/12),0)</f>
      </c>
      <c r="X29" s="4">
        <f>IF(N28&gt;0,N28*($J$12/100/12),0)</f>
      </c>
      <c r="Y29" s="4">
        <f>IF(O28&gt;0,O28*($J$13/100/12),0)</f>
      </c>
      <c r="Z29" s="4">
        <f>IF(P28&gt;0,P28*($J$14/100/12),0)</f>
      </c>
      <c r="AA29" s="4">
        <f>IF(G28&lt;=0,0,MIN($K$5,(G28+Q29)))</f>
      </c>
      <c r="AB29" s="4">
        <f>IF(H28&lt;=0,0,MIN($K$6,(H28+R29)))</f>
      </c>
      <c r="AC29" s="4">
        <f>IF(I28&lt;=0,0,MIN($K$7,(I28+S29)))</f>
      </c>
      <c r="AD29" s="4">
        <f>IF(J28&lt;=0,0,MIN($K$8,(J28+T29)))</f>
      </c>
      <c r="AE29" s="4">
        <f>IF(K28&lt;=0,0,MIN($K$9,(K28+U29)))</f>
      </c>
      <c r="AF29" s="4">
        <f>IF(L28&lt;=0,0,MIN($K$10,(L28+V29)))</f>
      </c>
      <c r="AG29" s="4">
        <f>IF(M28&lt;=0,0,MIN($K$11,(M28+W29)))</f>
      </c>
      <c r="AH29" s="4">
        <f>IF(N28&lt;=0,0,MIN($K$12,(N28+X29)))</f>
      </c>
      <c r="AI29" s="4">
        <f>IF(O28&lt;=0,0,MIN($K$13,(O28+Y29)))</f>
      </c>
      <c r="AJ29" s="4">
        <f>IF(P28&lt;=0,0,MIN($K$14,(P28+Z29)))</f>
      </c>
      <c r="AK29" s="4">
        <f>(G28+Q29)-AA29</f>
      </c>
      <c r="AL29" s="4">
        <f>(H28+R29)-AB29</f>
      </c>
      <c r="AM29" s="4">
        <f>(I28+S29)-AC29</f>
      </c>
      <c r="AN29" s="4">
        <f>(J28+T29)-AD29</f>
      </c>
      <c r="AO29" s="4">
        <f>(K28+U29)-AE29</f>
      </c>
      <c r="AP29" s="4">
        <f>(L28+V29)-AF29</f>
      </c>
      <c r="AQ29" s="4">
        <f>(M28+W29)-AG29</f>
      </c>
      <c r="AR29" s="4">
        <f>(N28+X29)-AH29</f>
      </c>
      <c r="AS29" s="4">
        <f>(O28+Y29)-AI29</f>
      </c>
      <c r="AT29" s="4">
        <f>(P28+Z29)-AJ29</f>
      </c>
      <c r="AU29" s="4">
        <f>$B$16+SUM($K$5:$K$14)-SUM(AA29:AJ29)</f>
      </c>
      <c r="AV29" s="4">
        <f>AU29-BE29</f>
      </c>
      <c r="AW29" s="4">
        <f>AV29-BF29</f>
      </c>
      <c r="AX29" s="4">
        <f>AW29-BG29</f>
      </c>
      <c r="AY29" s="4">
        <f>AX29-BH29</f>
      </c>
      <c r="AZ29" s="4">
        <f>AY29-BI29</f>
      </c>
      <c r="BA29" s="4">
        <f>AZ29-BJ29</f>
      </c>
      <c r="BB29" s="4">
        <f>BA29-BK29</f>
      </c>
      <c r="BC29" s="4">
        <f>BB29-BL29</f>
      </c>
      <c r="BD29" s="4">
        <f>BC29-BM29</f>
      </c>
      <c r="BE29" s="4">
        <f>IF(G28&lt;=0,0,MIN(AU29,AK29))</f>
      </c>
      <c r="BF29" s="4">
        <f>IF(H28&lt;=0,0,MIN(AV29,AL29))</f>
      </c>
      <c r="BG29" s="4">
        <f>IF(I28&lt;=0,0,MIN(AW29,AM29))</f>
      </c>
      <c r="BH29" s="4">
        <f>IF(J28&lt;=0,0,MIN(AX29,AN29))</f>
      </c>
      <c r="BI29" s="4">
        <f>IF(K28&lt;=0,0,MIN(AY29,AO29))</f>
      </c>
      <c r="BJ29" s="4">
        <f>IF(L28&lt;=0,0,MIN(AZ29,AP29))</f>
      </c>
      <c r="BK29" s="4">
        <f>IF(M28&lt;=0,0,MIN(BA29,AQ29))</f>
      </c>
      <c r="BL29" s="4">
        <f>IF(N28&lt;=0,0,MIN(BB29,AR29))</f>
      </c>
      <c r="BM29" s="4">
        <f>IF(O28&lt;=0,0,MIN(BC29,AS29))</f>
      </c>
      <c r="BN29" s="4">
        <f>IF(P28&lt;=0,0,MIN(BD29,AT29))</f>
      </c>
    </row>
    <row r="30" spans="1:66" x14ac:dyDescent="0.25">
      <c r="A30">
        <v>3</v>
      </c>
      <c r="B30" s="7">
        <f>EDATE($B$17,3)</f>
      </c>
      <c r="C30" s="4">
        <f>SUM(G30:P30)</f>
      </c>
      <c r="D30" s="4">
        <f>SUM(Q30:Z30)</f>
      </c>
      <c r="E30" s="4">
        <f>SUM(AA30:AJ30)+SUM(BE30:BN30)</f>
      </c>
      <c r="G30" s="4">
        <f>MAX(0,AK30-BE30)</f>
      </c>
      <c r="H30" s="4">
        <f>MAX(0,AL30-BF30)</f>
      </c>
      <c r="I30" s="4">
        <f>MAX(0,AM30-BG30)</f>
      </c>
      <c r="J30" s="4">
        <f>MAX(0,AN30-BH30)</f>
      </c>
      <c r="K30" s="4">
        <f>MAX(0,AO30-BI30)</f>
      </c>
      <c r="L30" s="4">
        <f>MAX(0,AP30-BJ30)</f>
      </c>
      <c r="M30" s="4">
        <f>MAX(0,AQ30-BK30)</f>
      </c>
      <c r="N30" s="4">
        <f>MAX(0,AR30-BL30)</f>
      </c>
      <c r="O30" s="4">
        <f>MAX(0,AS30-BM30)</f>
      </c>
      <c r="P30" s="4">
        <f>MAX(0,AT30-BN30)</f>
      </c>
      <c r="Q30" s="4">
        <f>IF(G29&gt;0,G29*($J$5/100/12),0)</f>
      </c>
      <c r="R30" s="4">
        <f>IF(H29&gt;0,H29*($J$6/100/12),0)</f>
      </c>
      <c r="S30" s="4">
        <f>IF(I29&gt;0,I29*($J$7/100/12),0)</f>
      </c>
      <c r="T30" s="4">
        <f>IF(J29&gt;0,J29*($J$8/100/12),0)</f>
      </c>
      <c r="U30" s="4">
        <f>IF(K29&gt;0,K29*($J$9/100/12),0)</f>
      </c>
      <c r="V30" s="4">
        <f>IF(L29&gt;0,L29*($J$10/100/12),0)</f>
      </c>
      <c r="W30" s="4">
        <f>IF(M29&gt;0,M29*($J$11/100/12),0)</f>
      </c>
      <c r="X30" s="4">
        <f>IF(N29&gt;0,N29*($J$12/100/12),0)</f>
      </c>
      <c r="Y30" s="4">
        <f>IF(O29&gt;0,O29*($J$13/100/12),0)</f>
      </c>
      <c r="Z30" s="4">
        <f>IF(P29&gt;0,P29*($J$14/100/12),0)</f>
      </c>
      <c r="AA30" s="4">
        <f>IF(G29&lt;=0,0,MIN($K$5,(G29+Q30)))</f>
      </c>
      <c r="AB30" s="4">
        <f>IF(H29&lt;=0,0,MIN($K$6,(H29+R30)))</f>
      </c>
      <c r="AC30" s="4">
        <f>IF(I29&lt;=0,0,MIN($K$7,(I29+S30)))</f>
      </c>
      <c r="AD30" s="4">
        <f>IF(J29&lt;=0,0,MIN($K$8,(J29+T30)))</f>
      </c>
      <c r="AE30" s="4">
        <f>IF(K29&lt;=0,0,MIN($K$9,(K29+U30)))</f>
      </c>
      <c r="AF30" s="4">
        <f>IF(L29&lt;=0,0,MIN($K$10,(L29+V30)))</f>
      </c>
      <c r="AG30" s="4">
        <f>IF(M29&lt;=0,0,MIN($K$11,(M29+W30)))</f>
      </c>
      <c r="AH30" s="4">
        <f>IF(N29&lt;=0,0,MIN($K$12,(N29+X30)))</f>
      </c>
      <c r="AI30" s="4">
        <f>IF(O29&lt;=0,0,MIN($K$13,(O29+Y30)))</f>
      </c>
      <c r="AJ30" s="4">
        <f>IF(P29&lt;=0,0,MIN($K$14,(P29+Z30)))</f>
      </c>
      <c r="AK30" s="4">
        <f>(G29+Q30)-AA30</f>
      </c>
      <c r="AL30" s="4">
        <f>(H29+R30)-AB30</f>
      </c>
      <c r="AM30" s="4">
        <f>(I29+S30)-AC30</f>
      </c>
      <c r="AN30" s="4">
        <f>(J29+T30)-AD30</f>
      </c>
      <c r="AO30" s="4">
        <f>(K29+U30)-AE30</f>
      </c>
      <c r="AP30" s="4">
        <f>(L29+V30)-AF30</f>
      </c>
      <c r="AQ30" s="4">
        <f>(M29+W30)-AG30</f>
      </c>
      <c r="AR30" s="4">
        <f>(N29+X30)-AH30</f>
      </c>
      <c r="AS30" s="4">
        <f>(O29+Y30)-AI30</f>
      </c>
      <c r="AT30" s="4">
        <f>(P29+Z30)-AJ30</f>
      </c>
      <c r="AU30" s="4">
        <f>$B$16+SUM($K$5:$K$14)-SUM(AA30:AJ30)</f>
      </c>
      <c r="AV30" s="4">
        <f>AU30-BE30</f>
      </c>
      <c r="AW30" s="4">
        <f>AV30-BF30</f>
      </c>
      <c r="AX30" s="4">
        <f>AW30-BG30</f>
      </c>
      <c r="AY30" s="4">
        <f>AX30-BH30</f>
      </c>
      <c r="AZ30" s="4">
        <f>AY30-BI30</f>
      </c>
      <c r="BA30" s="4">
        <f>AZ30-BJ30</f>
      </c>
      <c r="BB30" s="4">
        <f>BA30-BK30</f>
      </c>
      <c r="BC30" s="4">
        <f>BB30-BL30</f>
      </c>
      <c r="BD30" s="4">
        <f>BC30-BM30</f>
      </c>
      <c r="BE30" s="4">
        <f>IF(G29&lt;=0,0,MIN(AU30,AK30))</f>
      </c>
      <c r="BF30" s="4">
        <f>IF(H29&lt;=0,0,MIN(AV30,AL30))</f>
      </c>
      <c r="BG30" s="4">
        <f>IF(I29&lt;=0,0,MIN(AW30,AM30))</f>
      </c>
      <c r="BH30" s="4">
        <f>IF(J29&lt;=0,0,MIN(AX30,AN30))</f>
      </c>
      <c r="BI30" s="4">
        <f>IF(K29&lt;=0,0,MIN(AY30,AO30))</f>
      </c>
      <c r="BJ30" s="4">
        <f>IF(L29&lt;=0,0,MIN(AZ30,AP30))</f>
      </c>
      <c r="BK30" s="4">
        <f>IF(M29&lt;=0,0,MIN(BA30,AQ30))</f>
      </c>
      <c r="BL30" s="4">
        <f>IF(N29&lt;=0,0,MIN(BB30,AR30))</f>
      </c>
      <c r="BM30" s="4">
        <f>IF(O29&lt;=0,0,MIN(BC30,AS30))</f>
      </c>
      <c r="BN30" s="4">
        <f>IF(P29&lt;=0,0,MIN(BD30,AT30))</f>
      </c>
    </row>
    <row r="31" spans="1:66" x14ac:dyDescent="0.25">
      <c r="A31">
        <v>4</v>
      </c>
      <c r="B31" s="7">
        <f>EDATE($B$17,4)</f>
      </c>
      <c r="C31" s="4">
        <f>SUM(G31:P31)</f>
      </c>
      <c r="D31" s="4">
        <f>SUM(Q31:Z31)</f>
      </c>
      <c r="E31" s="4">
        <f>SUM(AA31:AJ31)+SUM(BE31:BN31)</f>
      </c>
      <c r="G31" s="4">
        <f>MAX(0,AK31-BE31)</f>
      </c>
      <c r="H31" s="4">
        <f>MAX(0,AL31-BF31)</f>
      </c>
      <c r="I31" s="4">
        <f>MAX(0,AM31-BG31)</f>
      </c>
      <c r="J31" s="4">
        <f>MAX(0,AN31-BH31)</f>
      </c>
      <c r="K31" s="4">
        <f>MAX(0,AO31-BI31)</f>
      </c>
      <c r="L31" s="4">
        <f>MAX(0,AP31-BJ31)</f>
      </c>
      <c r="M31" s="4">
        <f>MAX(0,AQ31-BK31)</f>
      </c>
      <c r="N31" s="4">
        <f>MAX(0,AR31-BL31)</f>
      </c>
      <c r="O31" s="4">
        <f>MAX(0,AS31-BM31)</f>
      </c>
      <c r="P31" s="4">
        <f>MAX(0,AT31-BN31)</f>
      </c>
      <c r="Q31" s="4">
        <f>IF(G30&gt;0,G30*($J$5/100/12),0)</f>
      </c>
      <c r="R31" s="4">
        <f>IF(H30&gt;0,H30*($J$6/100/12),0)</f>
      </c>
      <c r="S31" s="4">
        <f>IF(I30&gt;0,I30*($J$7/100/12),0)</f>
      </c>
      <c r="T31" s="4">
        <f>IF(J30&gt;0,J30*($J$8/100/12),0)</f>
      </c>
      <c r="U31" s="4">
        <f>IF(K30&gt;0,K30*($J$9/100/12),0)</f>
      </c>
      <c r="V31" s="4">
        <f>IF(L30&gt;0,L30*($J$10/100/12),0)</f>
      </c>
      <c r="W31" s="4">
        <f>IF(M30&gt;0,M30*($J$11/100/12),0)</f>
      </c>
      <c r="X31" s="4">
        <f>IF(N30&gt;0,N30*($J$12/100/12),0)</f>
      </c>
      <c r="Y31" s="4">
        <f>IF(O30&gt;0,O30*($J$13/100/12),0)</f>
      </c>
      <c r="Z31" s="4">
        <f>IF(P30&gt;0,P30*($J$14/100/12),0)</f>
      </c>
      <c r="AA31" s="4">
        <f>IF(G30&lt;=0,0,MIN($K$5,(G30+Q31)))</f>
      </c>
      <c r="AB31" s="4">
        <f>IF(H30&lt;=0,0,MIN($K$6,(H30+R31)))</f>
      </c>
      <c r="AC31" s="4">
        <f>IF(I30&lt;=0,0,MIN($K$7,(I30+S31)))</f>
      </c>
      <c r="AD31" s="4">
        <f>IF(J30&lt;=0,0,MIN($K$8,(J30+T31)))</f>
      </c>
      <c r="AE31" s="4">
        <f>IF(K30&lt;=0,0,MIN($K$9,(K30+U31)))</f>
      </c>
      <c r="AF31" s="4">
        <f>IF(L30&lt;=0,0,MIN($K$10,(L30+V31)))</f>
      </c>
      <c r="AG31" s="4">
        <f>IF(M30&lt;=0,0,MIN($K$11,(M30+W31)))</f>
      </c>
      <c r="AH31" s="4">
        <f>IF(N30&lt;=0,0,MIN($K$12,(N30+X31)))</f>
      </c>
      <c r="AI31" s="4">
        <f>IF(O30&lt;=0,0,MIN($K$13,(O30+Y31)))</f>
      </c>
      <c r="AJ31" s="4">
        <f>IF(P30&lt;=0,0,MIN($K$14,(P30+Z31)))</f>
      </c>
      <c r="AK31" s="4">
        <f>(G30+Q31)-AA31</f>
      </c>
      <c r="AL31" s="4">
        <f>(H30+R31)-AB31</f>
      </c>
      <c r="AM31" s="4">
        <f>(I30+S31)-AC31</f>
      </c>
      <c r="AN31" s="4">
        <f>(J30+T31)-AD31</f>
      </c>
      <c r="AO31" s="4">
        <f>(K30+U31)-AE31</f>
      </c>
      <c r="AP31" s="4">
        <f>(L30+V31)-AF31</f>
      </c>
      <c r="AQ31" s="4">
        <f>(M30+W31)-AG31</f>
      </c>
      <c r="AR31" s="4">
        <f>(N30+X31)-AH31</f>
      </c>
      <c r="AS31" s="4">
        <f>(O30+Y31)-AI31</f>
      </c>
      <c r="AT31" s="4">
        <f>(P30+Z31)-AJ31</f>
      </c>
      <c r="AU31" s="4">
        <f>$B$16+SUM($K$5:$K$14)-SUM(AA31:AJ31)</f>
      </c>
      <c r="AV31" s="4">
        <f>AU31-BE31</f>
      </c>
      <c r="AW31" s="4">
        <f>AV31-BF31</f>
      </c>
      <c r="AX31" s="4">
        <f>AW31-BG31</f>
      </c>
      <c r="AY31" s="4">
        <f>AX31-BH31</f>
      </c>
      <c r="AZ31" s="4">
        <f>AY31-BI31</f>
      </c>
      <c r="BA31" s="4">
        <f>AZ31-BJ31</f>
      </c>
      <c r="BB31" s="4">
        <f>BA31-BK31</f>
      </c>
      <c r="BC31" s="4">
        <f>BB31-BL31</f>
      </c>
      <c r="BD31" s="4">
        <f>BC31-BM31</f>
      </c>
      <c r="BE31" s="4">
        <f>IF(G30&lt;=0,0,MIN(AU31,AK31))</f>
      </c>
      <c r="BF31" s="4">
        <f>IF(H30&lt;=0,0,MIN(AV31,AL31))</f>
      </c>
      <c r="BG31" s="4">
        <f>IF(I30&lt;=0,0,MIN(AW31,AM31))</f>
      </c>
      <c r="BH31" s="4">
        <f>IF(J30&lt;=0,0,MIN(AX31,AN31))</f>
      </c>
      <c r="BI31" s="4">
        <f>IF(K30&lt;=0,0,MIN(AY31,AO31))</f>
      </c>
      <c r="BJ31" s="4">
        <f>IF(L30&lt;=0,0,MIN(AZ31,AP31))</f>
      </c>
      <c r="BK31" s="4">
        <f>IF(M30&lt;=0,0,MIN(BA31,AQ31))</f>
      </c>
      <c r="BL31" s="4">
        <f>IF(N30&lt;=0,0,MIN(BB31,AR31))</f>
      </c>
      <c r="BM31" s="4">
        <f>IF(O30&lt;=0,0,MIN(BC31,AS31))</f>
      </c>
      <c r="BN31" s="4">
        <f>IF(P30&lt;=0,0,MIN(BD31,AT31))</f>
      </c>
    </row>
    <row r="32" spans="1:66" x14ac:dyDescent="0.25">
      <c r="A32">
        <v>5</v>
      </c>
      <c r="B32" s="7">
        <f>EDATE($B$17,5)</f>
      </c>
      <c r="C32" s="4">
        <f>SUM(G32:P32)</f>
      </c>
      <c r="D32" s="4">
        <f>SUM(Q32:Z32)</f>
      </c>
      <c r="E32" s="4">
        <f>SUM(AA32:AJ32)+SUM(BE32:BN32)</f>
      </c>
      <c r="G32" s="4">
        <f>MAX(0,AK32-BE32)</f>
      </c>
      <c r="H32" s="4">
        <f>MAX(0,AL32-BF32)</f>
      </c>
      <c r="I32" s="4">
        <f>MAX(0,AM32-BG32)</f>
      </c>
      <c r="J32" s="4">
        <f>MAX(0,AN32-BH32)</f>
      </c>
      <c r="K32" s="4">
        <f>MAX(0,AO32-BI32)</f>
      </c>
      <c r="L32" s="4">
        <f>MAX(0,AP32-BJ32)</f>
      </c>
      <c r="M32" s="4">
        <f>MAX(0,AQ32-BK32)</f>
      </c>
      <c r="N32" s="4">
        <f>MAX(0,AR32-BL32)</f>
      </c>
      <c r="O32" s="4">
        <f>MAX(0,AS32-BM32)</f>
      </c>
      <c r="P32" s="4">
        <f>MAX(0,AT32-BN32)</f>
      </c>
      <c r="Q32" s="4">
        <f>IF(G31&gt;0,G31*($J$5/100/12),0)</f>
      </c>
      <c r="R32" s="4">
        <f>IF(H31&gt;0,H31*($J$6/100/12),0)</f>
      </c>
      <c r="S32" s="4">
        <f>IF(I31&gt;0,I31*($J$7/100/12),0)</f>
      </c>
      <c r="T32" s="4">
        <f>IF(J31&gt;0,J31*($J$8/100/12),0)</f>
      </c>
      <c r="U32" s="4">
        <f>IF(K31&gt;0,K31*($J$9/100/12),0)</f>
      </c>
      <c r="V32" s="4">
        <f>IF(L31&gt;0,L31*($J$10/100/12),0)</f>
      </c>
      <c r="W32" s="4">
        <f>IF(M31&gt;0,M31*($J$11/100/12),0)</f>
      </c>
      <c r="X32" s="4">
        <f>IF(N31&gt;0,N31*($J$12/100/12),0)</f>
      </c>
      <c r="Y32" s="4">
        <f>IF(O31&gt;0,O31*($J$13/100/12),0)</f>
      </c>
      <c r="Z32" s="4">
        <f>IF(P31&gt;0,P31*($J$14/100/12),0)</f>
      </c>
      <c r="AA32" s="4">
        <f>IF(G31&lt;=0,0,MIN($K$5,(G31+Q32)))</f>
      </c>
      <c r="AB32" s="4">
        <f>IF(H31&lt;=0,0,MIN($K$6,(H31+R32)))</f>
      </c>
      <c r="AC32" s="4">
        <f>IF(I31&lt;=0,0,MIN($K$7,(I31+S32)))</f>
      </c>
      <c r="AD32" s="4">
        <f>IF(J31&lt;=0,0,MIN($K$8,(J31+T32)))</f>
      </c>
      <c r="AE32" s="4">
        <f>IF(K31&lt;=0,0,MIN($K$9,(K31+U32)))</f>
      </c>
      <c r="AF32" s="4">
        <f>IF(L31&lt;=0,0,MIN($K$10,(L31+V32)))</f>
      </c>
      <c r="AG32" s="4">
        <f>IF(M31&lt;=0,0,MIN($K$11,(M31+W32)))</f>
      </c>
      <c r="AH32" s="4">
        <f>IF(N31&lt;=0,0,MIN($K$12,(N31+X32)))</f>
      </c>
      <c r="AI32" s="4">
        <f>IF(O31&lt;=0,0,MIN($K$13,(O31+Y32)))</f>
      </c>
      <c r="AJ32" s="4">
        <f>IF(P31&lt;=0,0,MIN($K$14,(P31+Z32)))</f>
      </c>
      <c r="AK32" s="4">
        <f>(G31+Q32)-AA32</f>
      </c>
      <c r="AL32" s="4">
        <f>(H31+R32)-AB32</f>
      </c>
      <c r="AM32" s="4">
        <f>(I31+S32)-AC32</f>
      </c>
      <c r="AN32" s="4">
        <f>(J31+T32)-AD32</f>
      </c>
      <c r="AO32" s="4">
        <f>(K31+U32)-AE32</f>
      </c>
      <c r="AP32" s="4">
        <f>(L31+V32)-AF32</f>
      </c>
      <c r="AQ32" s="4">
        <f>(M31+W32)-AG32</f>
      </c>
      <c r="AR32" s="4">
        <f>(N31+X32)-AH32</f>
      </c>
      <c r="AS32" s="4">
        <f>(O31+Y32)-AI32</f>
      </c>
      <c r="AT32" s="4">
        <f>(P31+Z32)-AJ32</f>
      </c>
      <c r="AU32" s="4">
        <f>$B$16+SUM($K$5:$K$14)-SUM(AA32:AJ32)</f>
      </c>
      <c r="AV32" s="4">
        <f>AU32-BE32</f>
      </c>
      <c r="AW32" s="4">
        <f>AV32-BF32</f>
      </c>
      <c r="AX32" s="4">
        <f>AW32-BG32</f>
      </c>
      <c r="AY32" s="4">
        <f>AX32-BH32</f>
      </c>
      <c r="AZ32" s="4">
        <f>AY32-BI32</f>
      </c>
      <c r="BA32" s="4">
        <f>AZ32-BJ32</f>
      </c>
      <c r="BB32" s="4">
        <f>BA32-BK32</f>
      </c>
      <c r="BC32" s="4">
        <f>BB32-BL32</f>
      </c>
      <c r="BD32" s="4">
        <f>BC32-BM32</f>
      </c>
      <c r="BE32" s="4">
        <f>IF(G31&lt;=0,0,MIN(AU32,AK32))</f>
      </c>
      <c r="BF32" s="4">
        <f>IF(H31&lt;=0,0,MIN(AV32,AL32))</f>
      </c>
      <c r="BG32" s="4">
        <f>IF(I31&lt;=0,0,MIN(AW32,AM32))</f>
      </c>
      <c r="BH32" s="4">
        <f>IF(J31&lt;=0,0,MIN(AX32,AN32))</f>
      </c>
      <c r="BI32" s="4">
        <f>IF(K31&lt;=0,0,MIN(AY32,AO32))</f>
      </c>
      <c r="BJ32" s="4">
        <f>IF(L31&lt;=0,0,MIN(AZ32,AP32))</f>
      </c>
      <c r="BK32" s="4">
        <f>IF(M31&lt;=0,0,MIN(BA32,AQ32))</f>
      </c>
      <c r="BL32" s="4">
        <f>IF(N31&lt;=0,0,MIN(BB32,AR32))</f>
      </c>
      <c r="BM32" s="4">
        <f>IF(O31&lt;=0,0,MIN(BC32,AS32))</f>
      </c>
      <c r="BN32" s="4">
        <f>IF(P31&lt;=0,0,MIN(BD32,AT32))</f>
      </c>
    </row>
    <row r="33" spans="1:66" x14ac:dyDescent="0.25">
      <c r="A33">
        <v>6</v>
      </c>
      <c r="B33" s="7">
        <f>EDATE($B$17,6)</f>
      </c>
      <c r="C33" s="4">
        <f>SUM(G33:P33)</f>
      </c>
      <c r="D33" s="4">
        <f>SUM(Q33:Z33)</f>
      </c>
      <c r="E33" s="4">
        <f>SUM(AA33:AJ33)+SUM(BE33:BN33)</f>
      </c>
      <c r="G33" s="4">
        <f>MAX(0,AK33-BE33)</f>
      </c>
      <c r="H33" s="4">
        <f>MAX(0,AL33-BF33)</f>
      </c>
      <c r="I33" s="4">
        <f>MAX(0,AM33-BG33)</f>
      </c>
      <c r="J33" s="4">
        <f>MAX(0,AN33-BH33)</f>
      </c>
      <c r="K33" s="4">
        <f>MAX(0,AO33-BI33)</f>
      </c>
      <c r="L33" s="4">
        <f>MAX(0,AP33-BJ33)</f>
      </c>
      <c r="M33" s="4">
        <f>MAX(0,AQ33-BK33)</f>
      </c>
      <c r="N33" s="4">
        <f>MAX(0,AR33-BL33)</f>
      </c>
      <c r="O33" s="4">
        <f>MAX(0,AS33-BM33)</f>
      </c>
      <c r="P33" s="4">
        <f>MAX(0,AT33-BN33)</f>
      </c>
      <c r="Q33" s="4">
        <f>IF(G32&gt;0,G32*($J$5/100/12),0)</f>
      </c>
      <c r="R33" s="4">
        <f>IF(H32&gt;0,H32*($J$6/100/12),0)</f>
      </c>
      <c r="S33" s="4">
        <f>IF(I32&gt;0,I32*($J$7/100/12),0)</f>
      </c>
      <c r="T33" s="4">
        <f>IF(J32&gt;0,J32*($J$8/100/12),0)</f>
      </c>
      <c r="U33" s="4">
        <f>IF(K32&gt;0,K32*($J$9/100/12),0)</f>
      </c>
      <c r="V33" s="4">
        <f>IF(L32&gt;0,L32*($J$10/100/12),0)</f>
      </c>
      <c r="W33" s="4">
        <f>IF(M32&gt;0,M32*($J$11/100/12),0)</f>
      </c>
      <c r="X33" s="4">
        <f>IF(N32&gt;0,N32*($J$12/100/12),0)</f>
      </c>
      <c r="Y33" s="4">
        <f>IF(O32&gt;0,O32*($J$13/100/12),0)</f>
      </c>
      <c r="Z33" s="4">
        <f>IF(P32&gt;0,P32*($J$14/100/12),0)</f>
      </c>
      <c r="AA33" s="4">
        <f>IF(G32&lt;=0,0,MIN($K$5,(G32+Q33)))</f>
      </c>
      <c r="AB33" s="4">
        <f>IF(H32&lt;=0,0,MIN($K$6,(H32+R33)))</f>
      </c>
      <c r="AC33" s="4">
        <f>IF(I32&lt;=0,0,MIN($K$7,(I32+S33)))</f>
      </c>
      <c r="AD33" s="4">
        <f>IF(J32&lt;=0,0,MIN($K$8,(J32+T33)))</f>
      </c>
      <c r="AE33" s="4">
        <f>IF(K32&lt;=0,0,MIN($K$9,(K32+U33)))</f>
      </c>
      <c r="AF33" s="4">
        <f>IF(L32&lt;=0,0,MIN($K$10,(L32+V33)))</f>
      </c>
      <c r="AG33" s="4">
        <f>IF(M32&lt;=0,0,MIN($K$11,(M32+W33)))</f>
      </c>
      <c r="AH33" s="4">
        <f>IF(N32&lt;=0,0,MIN($K$12,(N32+X33)))</f>
      </c>
      <c r="AI33" s="4">
        <f>IF(O32&lt;=0,0,MIN($K$13,(O32+Y33)))</f>
      </c>
      <c r="AJ33" s="4">
        <f>IF(P32&lt;=0,0,MIN($K$14,(P32+Z33)))</f>
      </c>
      <c r="AK33" s="4">
        <f>(G32+Q33)-AA33</f>
      </c>
      <c r="AL33" s="4">
        <f>(H32+R33)-AB33</f>
      </c>
      <c r="AM33" s="4">
        <f>(I32+S33)-AC33</f>
      </c>
      <c r="AN33" s="4">
        <f>(J32+T33)-AD33</f>
      </c>
      <c r="AO33" s="4">
        <f>(K32+U33)-AE33</f>
      </c>
      <c r="AP33" s="4">
        <f>(L32+V33)-AF33</f>
      </c>
      <c r="AQ33" s="4">
        <f>(M32+W33)-AG33</f>
      </c>
      <c r="AR33" s="4">
        <f>(N32+X33)-AH33</f>
      </c>
      <c r="AS33" s="4">
        <f>(O32+Y33)-AI33</f>
      </c>
      <c r="AT33" s="4">
        <f>(P32+Z33)-AJ33</f>
      </c>
      <c r="AU33" s="4">
        <f>$B$16+SUM($K$5:$K$14)-SUM(AA33:AJ33)</f>
      </c>
      <c r="AV33" s="4">
        <f>AU33-BE33</f>
      </c>
      <c r="AW33" s="4">
        <f>AV33-BF33</f>
      </c>
      <c r="AX33" s="4">
        <f>AW33-BG33</f>
      </c>
      <c r="AY33" s="4">
        <f>AX33-BH33</f>
      </c>
      <c r="AZ33" s="4">
        <f>AY33-BI33</f>
      </c>
      <c r="BA33" s="4">
        <f>AZ33-BJ33</f>
      </c>
      <c r="BB33" s="4">
        <f>BA33-BK33</f>
      </c>
      <c r="BC33" s="4">
        <f>BB33-BL33</f>
      </c>
      <c r="BD33" s="4">
        <f>BC33-BM33</f>
      </c>
      <c r="BE33" s="4">
        <f>IF(G32&lt;=0,0,MIN(AU33,AK33))</f>
      </c>
      <c r="BF33" s="4">
        <f>IF(H32&lt;=0,0,MIN(AV33,AL33))</f>
      </c>
      <c r="BG33" s="4">
        <f>IF(I32&lt;=0,0,MIN(AW33,AM33))</f>
      </c>
      <c r="BH33" s="4">
        <f>IF(J32&lt;=0,0,MIN(AX33,AN33))</f>
      </c>
      <c r="BI33" s="4">
        <f>IF(K32&lt;=0,0,MIN(AY33,AO33))</f>
      </c>
      <c r="BJ33" s="4">
        <f>IF(L32&lt;=0,0,MIN(AZ33,AP33))</f>
      </c>
      <c r="BK33" s="4">
        <f>IF(M32&lt;=0,0,MIN(BA33,AQ33))</f>
      </c>
      <c r="BL33" s="4">
        <f>IF(N32&lt;=0,0,MIN(BB33,AR33))</f>
      </c>
      <c r="BM33" s="4">
        <f>IF(O32&lt;=0,0,MIN(BC33,AS33))</f>
      </c>
      <c r="BN33" s="4">
        <f>IF(P32&lt;=0,0,MIN(BD33,AT33))</f>
      </c>
    </row>
    <row r="34" spans="1:66" x14ac:dyDescent="0.25">
      <c r="A34">
        <v>7</v>
      </c>
      <c r="B34" s="7">
        <f>EDATE($B$17,7)</f>
      </c>
      <c r="C34" s="4">
        <f>SUM(G34:P34)</f>
      </c>
      <c r="D34" s="4">
        <f>SUM(Q34:Z34)</f>
      </c>
      <c r="E34" s="4">
        <f>SUM(AA34:AJ34)+SUM(BE34:BN34)</f>
      </c>
      <c r="G34" s="4">
        <f>MAX(0,AK34-BE34)</f>
      </c>
      <c r="H34" s="4">
        <f>MAX(0,AL34-BF34)</f>
      </c>
      <c r="I34" s="4">
        <f>MAX(0,AM34-BG34)</f>
      </c>
      <c r="J34" s="4">
        <f>MAX(0,AN34-BH34)</f>
      </c>
      <c r="K34" s="4">
        <f>MAX(0,AO34-BI34)</f>
      </c>
      <c r="L34" s="4">
        <f>MAX(0,AP34-BJ34)</f>
      </c>
      <c r="M34" s="4">
        <f>MAX(0,AQ34-BK34)</f>
      </c>
      <c r="N34" s="4">
        <f>MAX(0,AR34-BL34)</f>
      </c>
      <c r="O34" s="4">
        <f>MAX(0,AS34-BM34)</f>
      </c>
      <c r="P34" s="4">
        <f>MAX(0,AT34-BN34)</f>
      </c>
      <c r="Q34" s="4">
        <f>IF(G33&gt;0,G33*($J$5/100/12),0)</f>
      </c>
      <c r="R34" s="4">
        <f>IF(H33&gt;0,H33*($J$6/100/12),0)</f>
      </c>
      <c r="S34" s="4">
        <f>IF(I33&gt;0,I33*($J$7/100/12),0)</f>
      </c>
      <c r="T34" s="4">
        <f>IF(J33&gt;0,J33*($J$8/100/12),0)</f>
      </c>
      <c r="U34" s="4">
        <f>IF(K33&gt;0,K33*($J$9/100/12),0)</f>
      </c>
      <c r="V34" s="4">
        <f>IF(L33&gt;0,L33*($J$10/100/12),0)</f>
      </c>
      <c r="W34" s="4">
        <f>IF(M33&gt;0,M33*($J$11/100/12),0)</f>
      </c>
      <c r="X34" s="4">
        <f>IF(N33&gt;0,N33*($J$12/100/12),0)</f>
      </c>
      <c r="Y34" s="4">
        <f>IF(O33&gt;0,O33*($J$13/100/12),0)</f>
      </c>
      <c r="Z34" s="4">
        <f>IF(P33&gt;0,P33*($J$14/100/12),0)</f>
      </c>
      <c r="AA34" s="4">
        <f>IF(G33&lt;=0,0,MIN($K$5,(G33+Q34)))</f>
      </c>
      <c r="AB34" s="4">
        <f>IF(H33&lt;=0,0,MIN($K$6,(H33+R34)))</f>
      </c>
      <c r="AC34" s="4">
        <f>IF(I33&lt;=0,0,MIN($K$7,(I33+S34)))</f>
      </c>
      <c r="AD34" s="4">
        <f>IF(J33&lt;=0,0,MIN($K$8,(J33+T34)))</f>
      </c>
      <c r="AE34" s="4">
        <f>IF(K33&lt;=0,0,MIN($K$9,(K33+U34)))</f>
      </c>
      <c r="AF34" s="4">
        <f>IF(L33&lt;=0,0,MIN($K$10,(L33+V34)))</f>
      </c>
      <c r="AG34" s="4">
        <f>IF(M33&lt;=0,0,MIN($K$11,(M33+W34)))</f>
      </c>
      <c r="AH34" s="4">
        <f>IF(N33&lt;=0,0,MIN($K$12,(N33+X34)))</f>
      </c>
      <c r="AI34" s="4">
        <f>IF(O33&lt;=0,0,MIN($K$13,(O33+Y34)))</f>
      </c>
      <c r="AJ34" s="4">
        <f>IF(P33&lt;=0,0,MIN($K$14,(P33+Z34)))</f>
      </c>
      <c r="AK34" s="4">
        <f>(G33+Q34)-AA34</f>
      </c>
      <c r="AL34" s="4">
        <f>(H33+R34)-AB34</f>
      </c>
      <c r="AM34" s="4">
        <f>(I33+S34)-AC34</f>
      </c>
      <c r="AN34" s="4">
        <f>(J33+T34)-AD34</f>
      </c>
      <c r="AO34" s="4">
        <f>(K33+U34)-AE34</f>
      </c>
      <c r="AP34" s="4">
        <f>(L33+V34)-AF34</f>
      </c>
      <c r="AQ34" s="4">
        <f>(M33+W34)-AG34</f>
      </c>
      <c r="AR34" s="4">
        <f>(N33+X34)-AH34</f>
      </c>
      <c r="AS34" s="4">
        <f>(O33+Y34)-AI34</f>
      </c>
      <c r="AT34" s="4">
        <f>(P33+Z34)-AJ34</f>
      </c>
      <c r="AU34" s="4">
        <f>$B$16+SUM($K$5:$K$14)-SUM(AA34:AJ34)</f>
      </c>
      <c r="AV34" s="4">
        <f>AU34-BE34</f>
      </c>
      <c r="AW34" s="4">
        <f>AV34-BF34</f>
      </c>
      <c r="AX34" s="4">
        <f>AW34-BG34</f>
      </c>
      <c r="AY34" s="4">
        <f>AX34-BH34</f>
      </c>
      <c r="AZ34" s="4">
        <f>AY34-BI34</f>
      </c>
      <c r="BA34" s="4">
        <f>AZ34-BJ34</f>
      </c>
      <c r="BB34" s="4">
        <f>BA34-BK34</f>
      </c>
      <c r="BC34" s="4">
        <f>BB34-BL34</f>
      </c>
      <c r="BD34" s="4">
        <f>BC34-BM34</f>
      </c>
      <c r="BE34" s="4">
        <f>IF(G33&lt;=0,0,MIN(AU34,AK34))</f>
      </c>
      <c r="BF34" s="4">
        <f>IF(H33&lt;=0,0,MIN(AV34,AL34))</f>
      </c>
      <c r="BG34" s="4">
        <f>IF(I33&lt;=0,0,MIN(AW34,AM34))</f>
      </c>
      <c r="BH34" s="4">
        <f>IF(J33&lt;=0,0,MIN(AX34,AN34))</f>
      </c>
      <c r="BI34" s="4">
        <f>IF(K33&lt;=0,0,MIN(AY34,AO34))</f>
      </c>
      <c r="BJ34" s="4">
        <f>IF(L33&lt;=0,0,MIN(AZ34,AP34))</f>
      </c>
      <c r="BK34" s="4">
        <f>IF(M33&lt;=0,0,MIN(BA34,AQ34))</f>
      </c>
      <c r="BL34" s="4">
        <f>IF(N33&lt;=0,0,MIN(BB34,AR34))</f>
      </c>
      <c r="BM34" s="4">
        <f>IF(O33&lt;=0,0,MIN(BC34,AS34))</f>
      </c>
      <c r="BN34" s="4">
        <f>IF(P33&lt;=0,0,MIN(BD34,AT34))</f>
      </c>
    </row>
    <row r="35" spans="1:66" x14ac:dyDescent="0.25">
      <c r="A35">
        <v>8</v>
      </c>
      <c r="B35" s="7">
        <f>EDATE($B$17,8)</f>
      </c>
      <c r="C35" s="4">
        <f>SUM(G35:P35)</f>
      </c>
      <c r="D35" s="4">
        <f>SUM(Q35:Z35)</f>
      </c>
      <c r="E35" s="4">
        <f>SUM(AA35:AJ35)+SUM(BE35:BN35)</f>
      </c>
      <c r="G35" s="4">
        <f>MAX(0,AK35-BE35)</f>
      </c>
      <c r="H35" s="4">
        <f>MAX(0,AL35-BF35)</f>
      </c>
      <c r="I35" s="4">
        <f>MAX(0,AM35-BG35)</f>
      </c>
      <c r="J35" s="4">
        <f>MAX(0,AN35-BH35)</f>
      </c>
      <c r="K35" s="4">
        <f>MAX(0,AO35-BI35)</f>
      </c>
      <c r="L35" s="4">
        <f>MAX(0,AP35-BJ35)</f>
      </c>
      <c r="M35" s="4">
        <f>MAX(0,AQ35-BK35)</f>
      </c>
      <c r="N35" s="4">
        <f>MAX(0,AR35-BL35)</f>
      </c>
      <c r="O35" s="4">
        <f>MAX(0,AS35-BM35)</f>
      </c>
      <c r="P35" s="4">
        <f>MAX(0,AT35-BN35)</f>
      </c>
      <c r="Q35" s="4">
        <f>IF(G34&gt;0,G34*($J$5/100/12),0)</f>
      </c>
      <c r="R35" s="4">
        <f>IF(H34&gt;0,H34*($J$6/100/12),0)</f>
      </c>
      <c r="S35" s="4">
        <f>IF(I34&gt;0,I34*($J$7/100/12),0)</f>
      </c>
      <c r="T35" s="4">
        <f>IF(J34&gt;0,J34*($J$8/100/12),0)</f>
      </c>
      <c r="U35" s="4">
        <f>IF(K34&gt;0,K34*($J$9/100/12),0)</f>
      </c>
      <c r="V35" s="4">
        <f>IF(L34&gt;0,L34*($J$10/100/12),0)</f>
      </c>
      <c r="W35" s="4">
        <f>IF(M34&gt;0,M34*($J$11/100/12),0)</f>
      </c>
      <c r="X35" s="4">
        <f>IF(N34&gt;0,N34*($J$12/100/12),0)</f>
      </c>
      <c r="Y35" s="4">
        <f>IF(O34&gt;0,O34*($J$13/100/12),0)</f>
      </c>
      <c r="Z35" s="4">
        <f>IF(P34&gt;0,P34*($J$14/100/12),0)</f>
      </c>
      <c r="AA35" s="4">
        <f>IF(G34&lt;=0,0,MIN($K$5,(G34+Q35)))</f>
      </c>
      <c r="AB35" s="4">
        <f>IF(H34&lt;=0,0,MIN($K$6,(H34+R35)))</f>
      </c>
      <c r="AC35" s="4">
        <f>IF(I34&lt;=0,0,MIN($K$7,(I34+S35)))</f>
      </c>
      <c r="AD35" s="4">
        <f>IF(J34&lt;=0,0,MIN($K$8,(J34+T35)))</f>
      </c>
      <c r="AE35" s="4">
        <f>IF(K34&lt;=0,0,MIN($K$9,(K34+U35)))</f>
      </c>
      <c r="AF35" s="4">
        <f>IF(L34&lt;=0,0,MIN($K$10,(L34+V35)))</f>
      </c>
      <c r="AG35" s="4">
        <f>IF(M34&lt;=0,0,MIN($K$11,(M34+W35)))</f>
      </c>
      <c r="AH35" s="4">
        <f>IF(N34&lt;=0,0,MIN($K$12,(N34+X35)))</f>
      </c>
      <c r="AI35" s="4">
        <f>IF(O34&lt;=0,0,MIN($K$13,(O34+Y35)))</f>
      </c>
      <c r="AJ35" s="4">
        <f>IF(P34&lt;=0,0,MIN($K$14,(P34+Z35)))</f>
      </c>
      <c r="AK35" s="4">
        <f>(G34+Q35)-AA35</f>
      </c>
      <c r="AL35" s="4">
        <f>(H34+R35)-AB35</f>
      </c>
      <c r="AM35" s="4">
        <f>(I34+S35)-AC35</f>
      </c>
      <c r="AN35" s="4">
        <f>(J34+T35)-AD35</f>
      </c>
      <c r="AO35" s="4">
        <f>(K34+U35)-AE35</f>
      </c>
      <c r="AP35" s="4">
        <f>(L34+V35)-AF35</f>
      </c>
      <c r="AQ35" s="4">
        <f>(M34+W35)-AG35</f>
      </c>
      <c r="AR35" s="4">
        <f>(N34+X35)-AH35</f>
      </c>
      <c r="AS35" s="4">
        <f>(O34+Y35)-AI35</f>
      </c>
      <c r="AT35" s="4">
        <f>(P34+Z35)-AJ35</f>
      </c>
      <c r="AU35" s="4">
        <f>$B$16+SUM($K$5:$K$14)-SUM(AA35:AJ35)</f>
      </c>
      <c r="AV35" s="4">
        <f>AU35-BE35</f>
      </c>
      <c r="AW35" s="4">
        <f>AV35-BF35</f>
      </c>
      <c r="AX35" s="4">
        <f>AW35-BG35</f>
      </c>
      <c r="AY35" s="4">
        <f>AX35-BH35</f>
      </c>
      <c r="AZ35" s="4">
        <f>AY35-BI35</f>
      </c>
      <c r="BA35" s="4">
        <f>AZ35-BJ35</f>
      </c>
      <c r="BB35" s="4">
        <f>BA35-BK35</f>
      </c>
      <c r="BC35" s="4">
        <f>BB35-BL35</f>
      </c>
      <c r="BD35" s="4">
        <f>BC35-BM35</f>
      </c>
      <c r="BE35" s="4">
        <f>IF(G34&lt;=0,0,MIN(AU35,AK35))</f>
      </c>
      <c r="BF35" s="4">
        <f>IF(H34&lt;=0,0,MIN(AV35,AL35))</f>
      </c>
      <c r="BG35" s="4">
        <f>IF(I34&lt;=0,0,MIN(AW35,AM35))</f>
      </c>
      <c r="BH35" s="4">
        <f>IF(J34&lt;=0,0,MIN(AX35,AN35))</f>
      </c>
      <c r="BI35" s="4">
        <f>IF(K34&lt;=0,0,MIN(AY35,AO35))</f>
      </c>
      <c r="BJ35" s="4">
        <f>IF(L34&lt;=0,0,MIN(AZ35,AP35))</f>
      </c>
      <c r="BK35" s="4">
        <f>IF(M34&lt;=0,0,MIN(BA35,AQ35))</f>
      </c>
      <c r="BL35" s="4">
        <f>IF(N34&lt;=0,0,MIN(BB35,AR35))</f>
      </c>
      <c r="BM35" s="4">
        <f>IF(O34&lt;=0,0,MIN(BC35,AS35))</f>
      </c>
      <c r="BN35" s="4">
        <f>IF(P34&lt;=0,0,MIN(BD35,AT35))</f>
      </c>
    </row>
    <row r="36" spans="1:66" x14ac:dyDescent="0.25">
      <c r="A36">
        <v>9</v>
      </c>
      <c r="B36" s="7">
        <f>EDATE($B$17,9)</f>
      </c>
      <c r="C36" s="4">
        <f>SUM(G36:P36)</f>
      </c>
      <c r="D36" s="4">
        <f>SUM(Q36:Z36)</f>
      </c>
      <c r="E36" s="4">
        <f>SUM(AA36:AJ36)+SUM(BE36:BN36)</f>
      </c>
      <c r="G36" s="4">
        <f>MAX(0,AK36-BE36)</f>
      </c>
      <c r="H36" s="4">
        <f>MAX(0,AL36-BF36)</f>
      </c>
      <c r="I36" s="4">
        <f>MAX(0,AM36-BG36)</f>
      </c>
      <c r="J36" s="4">
        <f>MAX(0,AN36-BH36)</f>
      </c>
      <c r="K36" s="4">
        <f>MAX(0,AO36-BI36)</f>
      </c>
      <c r="L36" s="4">
        <f>MAX(0,AP36-BJ36)</f>
      </c>
      <c r="M36" s="4">
        <f>MAX(0,AQ36-BK36)</f>
      </c>
      <c r="N36" s="4">
        <f>MAX(0,AR36-BL36)</f>
      </c>
      <c r="O36" s="4">
        <f>MAX(0,AS36-BM36)</f>
      </c>
      <c r="P36" s="4">
        <f>MAX(0,AT36-BN36)</f>
      </c>
      <c r="Q36" s="4">
        <f>IF(G35&gt;0,G35*($J$5/100/12),0)</f>
      </c>
      <c r="R36" s="4">
        <f>IF(H35&gt;0,H35*($J$6/100/12),0)</f>
      </c>
      <c r="S36" s="4">
        <f>IF(I35&gt;0,I35*($J$7/100/12),0)</f>
      </c>
      <c r="T36" s="4">
        <f>IF(J35&gt;0,J35*($J$8/100/12),0)</f>
      </c>
      <c r="U36" s="4">
        <f>IF(K35&gt;0,K35*($J$9/100/12),0)</f>
      </c>
      <c r="V36" s="4">
        <f>IF(L35&gt;0,L35*($J$10/100/12),0)</f>
      </c>
      <c r="W36" s="4">
        <f>IF(M35&gt;0,M35*($J$11/100/12),0)</f>
      </c>
      <c r="X36" s="4">
        <f>IF(N35&gt;0,N35*($J$12/100/12),0)</f>
      </c>
      <c r="Y36" s="4">
        <f>IF(O35&gt;0,O35*($J$13/100/12),0)</f>
      </c>
      <c r="Z36" s="4">
        <f>IF(P35&gt;0,P35*($J$14/100/12),0)</f>
      </c>
      <c r="AA36" s="4">
        <f>IF(G35&lt;=0,0,MIN($K$5,(G35+Q36)))</f>
      </c>
      <c r="AB36" s="4">
        <f>IF(H35&lt;=0,0,MIN($K$6,(H35+R36)))</f>
      </c>
      <c r="AC36" s="4">
        <f>IF(I35&lt;=0,0,MIN($K$7,(I35+S36)))</f>
      </c>
      <c r="AD36" s="4">
        <f>IF(J35&lt;=0,0,MIN($K$8,(J35+T36)))</f>
      </c>
      <c r="AE36" s="4">
        <f>IF(K35&lt;=0,0,MIN($K$9,(K35+U36)))</f>
      </c>
      <c r="AF36" s="4">
        <f>IF(L35&lt;=0,0,MIN($K$10,(L35+V36)))</f>
      </c>
      <c r="AG36" s="4">
        <f>IF(M35&lt;=0,0,MIN($K$11,(M35+W36)))</f>
      </c>
      <c r="AH36" s="4">
        <f>IF(N35&lt;=0,0,MIN($K$12,(N35+X36)))</f>
      </c>
      <c r="AI36" s="4">
        <f>IF(O35&lt;=0,0,MIN($K$13,(O35+Y36)))</f>
      </c>
      <c r="AJ36" s="4">
        <f>IF(P35&lt;=0,0,MIN($K$14,(P35+Z36)))</f>
      </c>
      <c r="AK36" s="4">
        <f>(G35+Q36)-AA36</f>
      </c>
      <c r="AL36" s="4">
        <f>(H35+R36)-AB36</f>
      </c>
      <c r="AM36" s="4">
        <f>(I35+S36)-AC36</f>
      </c>
      <c r="AN36" s="4">
        <f>(J35+T36)-AD36</f>
      </c>
      <c r="AO36" s="4">
        <f>(K35+U36)-AE36</f>
      </c>
      <c r="AP36" s="4">
        <f>(L35+V36)-AF36</f>
      </c>
      <c r="AQ36" s="4">
        <f>(M35+W36)-AG36</f>
      </c>
      <c r="AR36" s="4">
        <f>(N35+X36)-AH36</f>
      </c>
      <c r="AS36" s="4">
        <f>(O35+Y36)-AI36</f>
      </c>
      <c r="AT36" s="4">
        <f>(P35+Z36)-AJ36</f>
      </c>
      <c r="AU36" s="4">
        <f>$B$16+SUM($K$5:$K$14)-SUM(AA36:AJ36)</f>
      </c>
      <c r="AV36" s="4">
        <f>AU36-BE36</f>
      </c>
      <c r="AW36" s="4">
        <f>AV36-BF36</f>
      </c>
      <c r="AX36" s="4">
        <f>AW36-BG36</f>
      </c>
      <c r="AY36" s="4">
        <f>AX36-BH36</f>
      </c>
      <c r="AZ36" s="4">
        <f>AY36-BI36</f>
      </c>
      <c r="BA36" s="4">
        <f>AZ36-BJ36</f>
      </c>
      <c r="BB36" s="4">
        <f>BA36-BK36</f>
      </c>
      <c r="BC36" s="4">
        <f>BB36-BL36</f>
      </c>
      <c r="BD36" s="4">
        <f>BC36-BM36</f>
      </c>
      <c r="BE36" s="4">
        <f>IF(G35&lt;=0,0,MIN(AU36,AK36))</f>
      </c>
      <c r="BF36" s="4">
        <f>IF(H35&lt;=0,0,MIN(AV36,AL36))</f>
      </c>
      <c r="BG36" s="4">
        <f>IF(I35&lt;=0,0,MIN(AW36,AM36))</f>
      </c>
      <c r="BH36" s="4">
        <f>IF(J35&lt;=0,0,MIN(AX36,AN36))</f>
      </c>
      <c r="BI36" s="4">
        <f>IF(K35&lt;=0,0,MIN(AY36,AO36))</f>
      </c>
      <c r="BJ36" s="4">
        <f>IF(L35&lt;=0,0,MIN(AZ36,AP36))</f>
      </c>
      <c r="BK36" s="4">
        <f>IF(M35&lt;=0,0,MIN(BA36,AQ36))</f>
      </c>
      <c r="BL36" s="4">
        <f>IF(N35&lt;=0,0,MIN(BB36,AR36))</f>
      </c>
      <c r="BM36" s="4">
        <f>IF(O35&lt;=0,0,MIN(BC36,AS36))</f>
      </c>
      <c r="BN36" s="4">
        <f>IF(P35&lt;=0,0,MIN(BD36,AT36))</f>
      </c>
    </row>
    <row r="37" spans="1:66" x14ac:dyDescent="0.25">
      <c r="A37">
        <v>10</v>
      </c>
      <c r="B37" s="7">
        <f>EDATE($B$17,10)</f>
      </c>
      <c r="C37" s="4">
        <f>SUM(G37:P37)</f>
      </c>
      <c r="D37" s="4">
        <f>SUM(Q37:Z37)</f>
      </c>
      <c r="E37" s="4">
        <f>SUM(AA37:AJ37)+SUM(BE37:BN37)</f>
      </c>
      <c r="G37" s="4">
        <f>MAX(0,AK37-BE37)</f>
      </c>
      <c r="H37" s="4">
        <f>MAX(0,AL37-BF37)</f>
      </c>
      <c r="I37" s="4">
        <f>MAX(0,AM37-BG37)</f>
      </c>
      <c r="J37" s="4">
        <f>MAX(0,AN37-BH37)</f>
      </c>
      <c r="K37" s="4">
        <f>MAX(0,AO37-BI37)</f>
      </c>
      <c r="L37" s="4">
        <f>MAX(0,AP37-BJ37)</f>
      </c>
      <c r="M37" s="4">
        <f>MAX(0,AQ37-BK37)</f>
      </c>
      <c r="N37" s="4">
        <f>MAX(0,AR37-BL37)</f>
      </c>
      <c r="O37" s="4">
        <f>MAX(0,AS37-BM37)</f>
      </c>
      <c r="P37" s="4">
        <f>MAX(0,AT37-BN37)</f>
      </c>
      <c r="Q37" s="4">
        <f>IF(G36&gt;0,G36*($J$5/100/12),0)</f>
      </c>
      <c r="R37" s="4">
        <f>IF(H36&gt;0,H36*($J$6/100/12),0)</f>
      </c>
      <c r="S37" s="4">
        <f>IF(I36&gt;0,I36*($J$7/100/12),0)</f>
      </c>
      <c r="T37" s="4">
        <f>IF(J36&gt;0,J36*($J$8/100/12),0)</f>
      </c>
      <c r="U37" s="4">
        <f>IF(K36&gt;0,K36*($J$9/100/12),0)</f>
      </c>
      <c r="V37" s="4">
        <f>IF(L36&gt;0,L36*($J$10/100/12),0)</f>
      </c>
      <c r="W37" s="4">
        <f>IF(M36&gt;0,M36*($J$11/100/12),0)</f>
      </c>
      <c r="X37" s="4">
        <f>IF(N36&gt;0,N36*($J$12/100/12),0)</f>
      </c>
      <c r="Y37" s="4">
        <f>IF(O36&gt;0,O36*($J$13/100/12),0)</f>
      </c>
      <c r="Z37" s="4">
        <f>IF(P36&gt;0,P36*($J$14/100/12),0)</f>
      </c>
      <c r="AA37" s="4">
        <f>IF(G36&lt;=0,0,MIN($K$5,(G36+Q37)))</f>
      </c>
      <c r="AB37" s="4">
        <f>IF(H36&lt;=0,0,MIN($K$6,(H36+R37)))</f>
      </c>
      <c r="AC37" s="4">
        <f>IF(I36&lt;=0,0,MIN($K$7,(I36+S37)))</f>
      </c>
      <c r="AD37" s="4">
        <f>IF(J36&lt;=0,0,MIN($K$8,(J36+T37)))</f>
      </c>
      <c r="AE37" s="4">
        <f>IF(K36&lt;=0,0,MIN($K$9,(K36+U37)))</f>
      </c>
      <c r="AF37" s="4">
        <f>IF(L36&lt;=0,0,MIN($K$10,(L36+V37)))</f>
      </c>
      <c r="AG37" s="4">
        <f>IF(M36&lt;=0,0,MIN($K$11,(M36+W37)))</f>
      </c>
      <c r="AH37" s="4">
        <f>IF(N36&lt;=0,0,MIN($K$12,(N36+X37)))</f>
      </c>
      <c r="AI37" s="4">
        <f>IF(O36&lt;=0,0,MIN($K$13,(O36+Y37)))</f>
      </c>
      <c r="AJ37" s="4">
        <f>IF(P36&lt;=0,0,MIN($K$14,(P36+Z37)))</f>
      </c>
      <c r="AK37" s="4">
        <f>(G36+Q37)-AA37</f>
      </c>
      <c r="AL37" s="4">
        <f>(H36+R37)-AB37</f>
      </c>
      <c r="AM37" s="4">
        <f>(I36+S37)-AC37</f>
      </c>
      <c r="AN37" s="4">
        <f>(J36+T37)-AD37</f>
      </c>
      <c r="AO37" s="4">
        <f>(K36+U37)-AE37</f>
      </c>
      <c r="AP37" s="4">
        <f>(L36+V37)-AF37</f>
      </c>
      <c r="AQ37" s="4">
        <f>(M36+W37)-AG37</f>
      </c>
      <c r="AR37" s="4">
        <f>(N36+X37)-AH37</f>
      </c>
      <c r="AS37" s="4">
        <f>(O36+Y37)-AI37</f>
      </c>
      <c r="AT37" s="4">
        <f>(P36+Z37)-AJ37</f>
      </c>
      <c r="AU37" s="4">
        <f>$B$16+SUM($K$5:$K$14)-SUM(AA37:AJ37)</f>
      </c>
      <c r="AV37" s="4">
        <f>AU37-BE37</f>
      </c>
      <c r="AW37" s="4">
        <f>AV37-BF37</f>
      </c>
      <c r="AX37" s="4">
        <f>AW37-BG37</f>
      </c>
      <c r="AY37" s="4">
        <f>AX37-BH37</f>
      </c>
      <c r="AZ37" s="4">
        <f>AY37-BI37</f>
      </c>
      <c r="BA37" s="4">
        <f>AZ37-BJ37</f>
      </c>
      <c r="BB37" s="4">
        <f>BA37-BK37</f>
      </c>
      <c r="BC37" s="4">
        <f>BB37-BL37</f>
      </c>
      <c r="BD37" s="4">
        <f>BC37-BM37</f>
      </c>
      <c r="BE37" s="4">
        <f>IF(G36&lt;=0,0,MIN(AU37,AK37))</f>
      </c>
      <c r="BF37" s="4">
        <f>IF(H36&lt;=0,0,MIN(AV37,AL37))</f>
      </c>
      <c r="BG37" s="4">
        <f>IF(I36&lt;=0,0,MIN(AW37,AM37))</f>
      </c>
      <c r="BH37" s="4">
        <f>IF(J36&lt;=0,0,MIN(AX37,AN37))</f>
      </c>
      <c r="BI37" s="4">
        <f>IF(K36&lt;=0,0,MIN(AY37,AO37))</f>
      </c>
      <c r="BJ37" s="4">
        <f>IF(L36&lt;=0,0,MIN(AZ37,AP37))</f>
      </c>
      <c r="BK37" s="4">
        <f>IF(M36&lt;=0,0,MIN(BA37,AQ37))</f>
      </c>
      <c r="BL37" s="4">
        <f>IF(N36&lt;=0,0,MIN(BB37,AR37))</f>
      </c>
      <c r="BM37" s="4">
        <f>IF(O36&lt;=0,0,MIN(BC37,AS37))</f>
      </c>
      <c r="BN37" s="4">
        <f>IF(P36&lt;=0,0,MIN(BD37,AT37))</f>
      </c>
    </row>
    <row r="38" spans="1:66" x14ac:dyDescent="0.25">
      <c r="A38">
        <v>11</v>
      </c>
      <c r="B38" s="7">
        <f>EDATE($B$17,11)</f>
      </c>
      <c r="C38" s="4">
        <f>SUM(G38:P38)</f>
      </c>
      <c r="D38" s="4">
        <f>SUM(Q38:Z38)</f>
      </c>
      <c r="E38" s="4">
        <f>SUM(AA38:AJ38)+SUM(BE38:BN38)</f>
      </c>
      <c r="G38" s="4">
        <f>MAX(0,AK38-BE38)</f>
      </c>
      <c r="H38" s="4">
        <f>MAX(0,AL38-BF38)</f>
      </c>
      <c r="I38" s="4">
        <f>MAX(0,AM38-BG38)</f>
      </c>
      <c r="J38" s="4">
        <f>MAX(0,AN38-BH38)</f>
      </c>
      <c r="K38" s="4">
        <f>MAX(0,AO38-BI38)</f>
      </c>
      <c r="L38" s="4">
        <f>MAX(0,AP38-BJ38)</f>
      </c>
      <c r="M38" s="4">
        <f>MAX(0,AQ38-BK38)</f>
      </c>
      <c r="N38" s="4">
        <f>MAX(0,AR38-BL38)</f>
      </c>
      <c r="O38" s="4">
        <f>MAX(0,AS38-BM38)</f>
      </c>
      <c r="P38" s="4">
        <f>MAX(0,AT38-BN38)</f>
      </c>
      <c r="Q38" s="4">
        <f>IF(G37&gt;0,G37*($J$5/100/12),0)</f>
      </c>
      <c r="R38" s="4">
        <f>IF(H37&gt;0,H37*($J$6/100/12),0)</f>
      </c>
      <c r="S38" s="4">
        <f>IF(I37&gt;0,I37*($J$7/100/12),0)</f>
      </c>
      <c r="T38" s="4">
        <f>IF(J37&gt;0,J37*($J$8/100/12),0)</f>
      </c>
      <c r="U38" s="4">
        <f>IF(K37&gt;0,K37*($J$9/100/12),0)</f>
      </c>
      <c r="V38" s="4">
        <f>IF(L37&gt;0,L37*($J$10/100/12),0)</f>
      </c>
      <c r="W38" s="4">
        <f>IF(M37&gt;0,M37*($J$11/100/12),0)</f>
      </c>
      <c r="X38" s="4">
        <f>IF(N37&gt;0,N37*($J$12/100/12),0)</f>
      </c>
      <c r="Y38" s="4">
        <f>IF(O37&gt;0,O37*($J$13/100/12),0)</f>
      </c>
      <c r="Z38" s="4">
        <f>IF(P37&gt;0,P37*($J$14/100/12),0)</f>
      </c>
      <c r="AA38" s="4">
        <f>IF(G37&lt;=0,0,MIN($K$5,(G37+Q38)))</f>
      </c>
      <c r="AB38" s="4">
        <f>IF(H37&lt;=0,0,MIN($K$6,(H37+R38)))</f>
      </c>
      <c r="AC38" s="4">
        <f>IF(I37&lt;=0,0,MIN($K$7,(I37+S38)))</f>
      </c>
      <c r="AD38" s="4">
        <f>IF(J37&lt;=0,0,MIN($K$8,(J37+T38)))</f>
      </c>
      <c r="AE38" s="4">
        <f>IF(K37&lt;=0,0,MIN($K$9,(K37+U38)))</f>
      </c>
      <c r="AF38" s="4">
        <f>IF(L37&lt;=0,0,MIN($K$10,(L37+V38)))</f>
      </c>
      <c r="AG38" s="4">
        <f>IF(M37&lt;=0,0,MIN($K$11,(M37+W38)))</f>
      </c>
      <c r="AH38" s="4">
        <f>IF(N37&lt;=0,0,MIN($K$12,(N37+X38)))</f>
      </c>
      <c r="AI38" s="4">
        <f>IF(O37&lt;=0,0,MIN($K$13,(O37+Y38)))</f>
      </c>
      <c r="AJ38" s="4">
        <f>IF(P37&lt;=0,0,MIN($K$14,(P37+Z38)))</f>
      </c>
      <c r="AK38" s="4">
        <f>(G37+Q38)-AA38</f>
      </c>
      <c r="AL38" s="4">
        <f>(H37+R38)-AB38</f>
      </c>
      <c r="AM38" s="4">
        <f>(I37+S38)-AC38</f>
      </c>
      <c r="AN38" s="4">
        <f>(J37+T38)-AD38</f>
      </c>
      <c r="AO38" s="4">
        <f>(K37+U38)-AE38</f>
      </c>
      <c r="AP38" s="4">
        <f>(L37+V38)-AF38</f>
      </c>
      <c r="AQ38" s="4">
        <f>(M37+W38)-AG38</f>
      </c>
      <c r="AR38" s="4">
        <f>(N37+X38)-AH38</f>
      </c>
      <c r="AS38" s="4">
        <f>(O37+Y38)-AI38</f>
      </c>
      <c r="AT38" s="4">
        <f>(P37+Z38)-AJ38</f>
      </c>
      <c r="AU38" s="4">
        <f>$B$16+SUM($K$5:$K$14)-SUM(AA38:AJ38)</f>
      </c>
      <c r="AV38" s="4">
        <f>AU38-BE38</f>
      </c>
      <c r="AW38" s="4">
        <f>AV38-BF38</f>
      </c>
      <c r="AX38" s="4">
        <f>AW38-BG38</f>
      </c>
      <c r="AY38" s="4">
        <f>AX38-BH38</f>
      </c>
      <c r="AZ38" s="4">
        <f>AY38-BI38</f>
      </c>
      <c r="BA38" s="4">
        <f>AZ38-BJ38</f>
      </c>
      <c r="BB38" s="4">
        <f>BA38-BK38</f>
      </c>
      <c r="BC38" s="4">
        <f>BB38-BL38</f>
      </c>
      <c r="BD38" s="4">
        <f>BC38-BM38</f>
      </c>
      <c r="BE38" s="4">
        <f>IF(G37&lt;=0,0,MIN(AU38,AK38))</f>
      </c>
      <c r="BF38" s="4">
        <f>IF(H37&lt;=0,0,MIN(AV38,AL38))</f>
      </c>
      <c r="BG38" s="4">
        <f>IF(I37&lt;=0,0,MIN(AW38,AM38))</f>
      </c>
      <c r="BH38" s="4">
        <f>IF(J37&lt;=0,0,MIN(AX38,AN38))</f>
      </c>
      <c r="BI38" s="4">
        <f>IF(K37&lt;=0,0,MIN(AY38,AO38))</f>
      </c>
      <c r="BJ38" s="4">
        <f>IF(L37&lt;=0,0,MIN(AZ38,AP38))</f>
      </c>
      <c r="BK38" s="4">
        <f>IF(M37&lt;=0,0,MIN(BA38,AQ38))</f>
      </c>
      <c r="BL38" s="4">
        <f>IF(N37&lt;=0,0,MIN(BB38,AR38))</f>
      </c>
      <c r="BM38" s="4">
        <f>IF(O37&lt;=0,0,MIN(BC38,AS38))</f>
      </c>
      <c r="BN38" s="4">
        <f>IF(P37&lt;=0,0,MIN(BD38,AT38))</f>
      </c>
    </row>
    <row r="39" spans="1:66" x14ac:dyDescent="0.25">
      <c r="A39">
        <v>12</v>
      </c>
      <c r="B39" s="7">
        <f>EDATE($B$17,12)</f>
      </c>
      <c r="C39" s="4">
        <f>SUM(G39:P39)</f>
      </c>
      <c r="D39" s="4">
        <f>SUM(Q39:Z39)</f>
      </c>
      <c r="E39" s="4">
        <f>SUM(AA39:AJ39)+SUM(BE39:BN39)</f>
      </c>
      <c r="G39" s="4">
        <f>MAX(0,AK39-BE39)</f>
      </c>
      <c r="H39" s="4">
        <f>MAX(0,AL39-BF39)</f>
      </c>
      <c r="I39" s="4">
        <f>MAX(0,AM39-BG39)</f>
      </c>
      <c r="J39" s="4">
        <f>MAX(0,AN39-BH39)</f>
      </c>
      <c r="K39" s="4">
        <f>MAX(0,AO39-BI39)</f>
      </c>
      <c r="L39" s="4">
        <f>MAX(0,AP39-BJ39)</f>
      </c>
      <c r="M39" s="4">
        <f>MAX(0,AQ39-BK39)</f>
      </c>
      <c r="N39" s="4">
        <f>MAX(0,AR39-BL39)</f>
      </c>
      <c r="O39" s="4">
        <f>MAX(0,AS39-BM39)</f>
      </c>
      <c r="P39" s="4">
        <f>MAX(0,AT39-BN39)</f>
      </c>
      <c r="Q39" s="4">
        <f>IF(G38&gt;0,G38*($J$5/100/12),0)</f>
      </c>
      <c r="R39" s="4">
        <f>IF(H38&gt;0,H38*($J$6/100/12),0)</f>
      </c>
      <c r="S39" s="4">
        <f>IF(I38&gt;0,I38*($J$7/100/12),0)</f>
      </c>
      <c r="T39" s="4">
        <f>IF(J38&gt;0,J38*($J$8/100/12),0)</f>
      </c>
      <c r="U39" s="4">
        <f>IF(K38&gt;0,K38*($J$9/100/12),0)</f>
      </c>
      <c r="V39" s="4">
        <f>IF(L38&gt;0,L38*($J$10/100/12),0)</f>
      </c>
      <c r="W39" s="4">
        <f>IF(M38&gt;0,M38*($J$11/100/12),0)</f>
      </c>
      <c r="X39" s="4">
        <f>IF(N38&gt;0,N38*($J$12/100/12),0)</f>
      </c>
      <c r="Y39" s="4">
        <f>IF(O38&gt;0,O38*($J$13/100/12),0)</f>
      </c>
      <c r="Z39" s="4">
        <f>IF(P38&gt;0,P38*($J$14/100/12),0)</f>
      </c>
      <c r="AA39" s="4">
        <f>IF(G38&lt;=0,0,MIN($K$5,(G38+Q39)))</f>
      </c>
      <c r="AB39" s="4">
        <f>IF(H38&lt;=0,0,MIN($K$6,(H38+R39)))</f>
      </c>
      <c r="AC39" s="4">
        <f>IF(I38&lt;=0,0,MIN($K$7,(I38+S39)))</f>
      </c>
      <c r="AD39" s="4">
        <f>IF(J38&lt;=0,0,MIN($K$8,(J38+T39)))</f>
      </c>
      <c r="AE39" s="4">
        <f>IF(K38&lt;=0,0,MIN($K$9,(K38+U39)))</f>
      </c>
      <c r="AF39" s="4">
        <f>IF(L38&lt;=0,0,MIN($K$10,(L38+V39)))</f>
      </c>
      <c r="AG39" s="4">
        <f>IF(M38&lt;=0,0,MIN($K$11,(M38+W39)))</f>
      </c>
      <c r="AH39" s="4">
        <f>IF(N38&lt;=0,0,MIN($K$12,(N38+X39)))</f>
      </c>
      <c r="AI39" s="4">
        <f>IF(O38&lt;=0,0,MIN($K$13,(O38+Y39)))</f>
      </c>
      <c r="AJ39" s="4">
        <f>IF(P38&lt;=0,0,MIN($K$14,(P38+Z39)))</f>
      </c>
      <c r="AK39" s="4">
        <f>(G38+Q39)-AA39</f>
      </c>
      <c r="AL39" s="4">
        <f>(H38+R39)-AB39</f>
      </c>
      <c r="AM39" s="4">
        <f>(I38+S39)-AC39</f>
      </c>
      <c r="AN39" s="4">
        <f>(J38+T39)-AD39</f>
      </c>
      <c r="AO39" s="4">
        <f>(K38+U39)-AE39</f>
      </c>
      <c r="AP39" s="4">
        <f>(L38+V39)-AF39</f>
      </c>
      <c r="AQ39" s="4">
        <f>(M38+W39)-AG39</f>
      </c>
      <c r="AR39" s="4">
        <f>(N38+X39)-AH39</f>
      </c>
      <c r="AS39" s="4">
        <f>(O38+Y39)-AI39</f>
      </c>
      <c r="AT39" s="4">
        <f>(P38+Z39)-AJ39</f>
      </c>
      <c r="AU39" s="4">
        <f>$B$16+SUM($K$5:$K$14)-SUM(AA39:AJ39)</f>
      </c>
      <c r="AV39" s="4">
        <f>AU39-BE39</f>
      </c>
      <c r="AW39" s="4">
        <f>AV39-BF39</f>
      </c>
      <c r="AX39" s="4">
        <f>AW39-BG39</f>
      </c>
      <c r="AY39" s="4">
        <f>AX39-BH39</f>
      </c>
      <c r="AZ39" s="4">
        <f>AY39-BI39</f>
      </c>
      <c r="BA39" s="4">
        <f>AZ39-BJ39</f>
      </c>
      <c r="BB39" s="4">
        <f>BA39-BK39</f>
      </c>
      <c r="BC39" s="4">
        <f>BB39-BL39</f>
      </c>
      <c r="BD39" s="4">
        <f>BC39-BM39</f>
      </c>
      <c r="BE39" s="4">
        <f>IF(G38&lt;=0,0,MIN(AU39,AK39))</f>
      </c>
      <c r="BF39" s="4">
        <f>IF(H38&lt;=0,0,MIN(AV39,AL39))</f>
      </c>
      <c r="BG39" s="4">
        <f>IF(I38&lt;=0,0,MIN(AW39,AM39))</f>
      </c>
      <c r="BH39" s="4">
        <f>IF(J38&lt;=0,0,MIN(AX39,AN39))</f>
      </c>
      <c r="BI39" s="4">
        <f>IF(K38&lt;=0,0,MIN(AY39,AO39))</f>
      </c>
      <c r="BJ39" s="4">
        <f>IF(L38&lt;=0,0,MIN(AZ39,AP39))</f>
      </c>
      <c r="BK39" s="4">
        <f>IF(M38&lt;=0,0,MIN(BA39,AQ39))</f>
      </c>
      <c r="BL39" s="4">
        <f>IF(N38&lt;=0,0,MIN(BB39,AR39))</f>
      </c>
      <c r="BM39" s="4">
        <f>IF(O38&lt;=0,0,MIN(BC39,AS39))</f>
      </c>
      <c r="BN39" s="4">
        <f>IF(P38&lt;=0,0,MIN(BD39,AT39))</f>
      </c>
    </row>
    <row r="40" spans="1:66" x14ac:dyDescent="0.25">
      <c r="A40">
        <v>13</v>
      </c>
      <c r="B40" s="7">
        <f>EDATE($B$17,13)</f>
      </c>
      <c r="C40" s="4">
        <f>SUM(G40:P40)</f>
      </c>
      <c r="D40" s="4">
        <f>SUM(Q40:Z40)</f>
      </c>
      <c r="E40" s="4">
        <f>SUM(AA40:AJ40)+SUM(BE40:BN40)</f>
      </c>
      <c r="G40" s="4">
        <f>MAX(0,AK40-BE40)</f>
      </c>
      <c r="H40" s="4">
        <f>MAX(0,AL40-BF40)</f>
      </c>
      <c r="I40" s="4">
        <f>MAX(0,AM40-BG40)</f>
      </c>
      <c r="J40" s="4">
        <f>MAX(0,AN40-BH40)</f>
      </c>
      <c r="K40" s="4">
        <f>MAX(0,AO40-BI40)</f>
      </c>
      <c r="L40" s="4">
        <f>MAX(0,AP40-BJ40)</f>
      </c>
      <c r="M40" s="4">
        <f>MAX(0,AQ40-BK40)</f>
      </c>
      <c r="N40" s="4">
        <f>MAX(0,AR40-BL40)</f>
      </c>
      <c r="O40" s="4">
        <f>MAX(0,AS40-BM40)</f>
      </c>
      <c r="P40" s="4">
        <f>MAX(0,AT40-BN40)</f>
      </c>
      <c r="Q40" s="4">
        <f>IF(G39&gt;0,G39*($J$5/100/12),0)</f>
      </c>
      <c r="R40" s="4">
        <f>IF(H39&gt;0,H39*($J$6/100/12),0)</f>
      </c>
      <c r="S40" s="4">
        <f>IF(I39&gt;0,I39*($J$7/100/12),0)</f>
      </c>
      <c r="T40" s="4">
        <f>IF(J39&gt;0,J39*($J$8/100/12),0)</f>
      </c>
      <c r="U40" s="4">
        <f>IF(K39&gt;0,K39*($J$9/100/12),0)</f>
      </c>
      <c r="V40" s="4">
        <f>IF(L39&gt;0,L39*($J$10/100/12),0)</f>
      </c>
      <c r="W40" s="4">
        <f>IF(M39&gt;0,M39*($J$11/100/12),0)</f>
      </c>
      <c r="X40" s="4">
        <f>IF(N39&gt;0,N39*($J$12/100/12),0)</f>
      </c>
      <c r="Y40" s="4">
        <f>IF(O39&gt;0,O39*($J$13/100/12),0)</f>
      </c>
      <c r="Z40" s="4">
        <f>IF(P39&gt;0,P39*($J$14/100/12),0)</f>
      </c>
      <c r="AA40" s="4">
        <f>IF(G39&lt;=0,0,MIN($K$5,(G39+Q40)))</f>
      </c>
      <c r="AB40" s="4">
        <f>IF(H39&lt;=0,0,MIN($K$6,(H39+R40)))</f>
      </c>
      <c r="AC40" s="4">
        <f>IF(I39&lt;=0,0,MIN($K$7,(I39+S40)))</f>
      </c>
      <c r="AD40" s="4">
        <f>IF(J39&lt;=0,0,MIN($K$8,(J39+T40)))</f>
      </c>
      <c r="AE40" s="4">
        <f>IF(K39&lt;=0,0,MIN($K$9,(K39+U40)))</f>
      </c>
      <c r="AF40" s="4">
        <f>IF(L39&lt;=0,0,MIN($K$10,(L39+V40)))</f>
      </c>
      <c r="AG40" s="4">
        <f>IF(M39&lt;=0,0,MIN($K$11,(M39+W40)))</f>
      </c>
      <c r="AH40" s="4">
        <f>IF(N39&lt;=0,0,MIN($K$12,(N39+X40)))</f>
      </c>
      <c r="AI40" s="4">
        <f>IF(O39&lt;=0,0,MIN($K$13,(O39+Y40)))</f>
      </c>
      <c r="AJ40" s="4">
        <f>IF(P39&lt;=0,0,MIN($K$14,(P39+Z40)))</f>
      </c>
      <c r="AK40" s="4">
        <f>(G39+Q40)-AA40</f>
      </c>
      <c r="AL40" s="4">
        <f>(H39+R40)-AB40</f>
      </c>
      <c r="AM40" s="4">
        <f>(I39+S40)-AC40</f>
      </c>
      <c r="AN40" s="4">
        <f>(J39+T40)-AD40</f>
      </c>
      <c r="AO40" s="4">
        <f>(K39+U40)-AE40</f>
      </c>
      <c r="AP40" s="4">
        <f>(L39+V40)-AF40</f>
      </c>
      <c r="AQ40" s="4">
        <f>(M39+W40)-AG40</f>
      </c>
      <c r="AR40" s="4">
        <f>(N39+X40)-AH40</f>
      </c>
      <c r="AS40" s="4">
        <f>(O39+Y40)-AI40</f>
      </c>
      <c r="AT40" s="4">
        <f>(P39+Z40)-AJ40</f>
      </c>
      <c r="AU40" s="4">
        <f>$B$16+SUM($K$5:$K$14)-SUM(AA40:AJ40)</f>
      </c>
      <c r="AV40" s="4">
        <f>AU40-BE40</f>
      </c>
      <c r="AW40" s="4">
        <f>AV40-BF40</f>
      </c>
      <c r="AX40" s="4">
        <f>AW40-BG40</f>
      </c>
      <c r="AY40" s="4">
        <f>AX40-BH40</f>
      </c>
      <c r="AZ40" s="4">
        <f>AY40-BI40</f>
      </c>
      <c r="BA40" s="4">
        <f>AZ40-BJ40</f>
      </c>
      <c r="BB40" s="4">
        <f>BA40-BK40</f>
      </c>
      <c r="BC40" s="4">
        <f>BB40-BL40</f>
      </c>
      <c r="BD40" s="4">
        <f>BC40-BM40</f>
      </c>
      <c r="BE40" s="4">
        <f>IF(G39&lt;=0,0,MIN(AU40,AK40))</f>
      </c>
      <c r="BF40" s="4">
        <f>IF(H39&lt;=0,0,MIN(AV40,AL40))</f>
      </c>
      <c r="BG40" s="4">
        <f>IF(I39&lt;=0,0,MIN(AW40,AM40))</f>
      </c>
      <c r="BH40" s="4">
        <f>IF(J39&lt;=0,0,MIN(AX40,AN40))</f>
      </c>
      <c r="BI40" s="4">
        <f>IF(K39&lt;=0,0,MIN(AY40,AO40))</f>
      </c>
      <c r="BJ40" s="4">
        <f>IF(L39&lt;=0,0,MIN(AZ40,AP40))</f>
      </c>
      <c r="BK40" s="4">
        <f>IF(M39&lt;=0,0,MIN(BA40,AQ40))</f>
      </c>
      <c r="BL40" s="4">
        <f>IF(N39&lt;=0,0,MIN(BB40,AR40))</f>
      </c>
      <c r="BM40" s="4">
        <f>IF(O39&lt;=0,0,MIN(BC40,AS40))</f>
      </c>
      <c r="BN40" s="4">
        <f>IF(P39&lt;=0,0,MIN(BD40,AT40))</f>
      </c>
    </row>
    <row r="41" spans="1:66" x14ac:dyDescent="0.25">
      <c r="A41">
        <v>14</v>
      </c>
      <c r="B41" s="7">
        <f>EDATE($B$17,14)</f>
      </c>
      <c r="C41" s="4">
        <f>SUM(G41:P41)</f>
      </c>
      <c r="D41" s="4">
        <f>SUM(Q41:Z41)</f>
      </c>
      <c r="E41" s="4">
        <f>SUM(AA41:AJ41)+SUM(BE41:BN41)</f>
      </c>
      <c r="G41" s="4">
        <f>MAX(0,AK41-BE41)</f>
      </c>
      <c r="H41" s="4">
        <f>MAX(0,AL41-BF41)</f>
      </c>
      <c r="I41" s="4">
        <f>MAX(0,AM41-BG41)</f>
      </c>
      <c r="J41" s="4">
        <f>MAX(0,AN41-BH41)</f>
      </c>
      <c r="K41" s="4">
        <f>MAX(0,AO41-BI41)</f>
      </c>
      <c r="L41" s="4">
        <f>MAX(0,AP41-BJ41)</f>
      </c>
      <c r="M41" s="4">
        <f>MAX(0,AQ41-BK41)</f>
      </c>
      <c r="N41" s="4">
        <f>MAX(0,AR41-BL41)</f>
      </c>
      <c r="O41" s="4">
        <f>MAX(0,AS41-BM41)</f>
      </c>
      <c r="P41" s="4">
        <f>MAX(0,AT41-BN41)</f>
      </c>
      <c r="Q41" s="4">
        <f>IF(G40&gt;0,G40*($J$5/100/12),0)</f>
      </c>
      <c r="R41" s="4">
        <f>IF(H40&gt;0,H40*($J$6/100/12),0)</f>
      </c>
      <c r="S41" s="4">
        <f>IF(I40&gt;0,I40*($J$7/100/12),0)</f>
      </c>
      <c r="T41" s="4">
        <f>IF(J40&gt;0,J40*($J$8/100/12),0)</f>
      </c>
      <c r="U41" s="4">
        <f>IF(K40&gt;0,K40*($J$9/100/12),0)</f>
      </c>
      <c r="V41" s="4">
        <f>IF(L40&gt;0,L40*($J$10/100/12),0)</f>
      </c>
      <c r="W41" s="4">
        <f>IF(M40&gt;0,M40*($J$11/100/12),0)</f>
      </c>
      <c r="X41" s="4">
        <f>IF(N40&gt;0,N40*($J$12/100/12),0)</f>
      </c>
      <c r="Y41" s="4">
        <f>IF(O40&gt;0,O40*($J$13/100/12),0)</f>
      </c>
      <c r="Z41" s="4">
        <f>IF(P40&gt;0,P40*($J$14/100/12),0)</f>
      </c>
      <c r="AA41" s="4">
        <f>IF(G40&lt;=0,0,MIN($K$5,(G40+Q41)))</f>
      </c>
      <c r="AB41" s="4">
        <f>IF(H40&lt;=0,0,MIN($K$6,(H40+R41)))</f>
      </c>
      <c r="AC41" s="4">
        <f>IF(I40&lt;=0,0,MIN($K$7,(I40+S41)))</f>
      </c>
      <c r="AD41" s="4">
        <f>IF(J40&lt;=0,0,MIN($K$8,(J40+T41)))</f>
      </c>
      <c r="AE41" s="4">
        <f>IF(K40&lt;=0,0,MIN($K$9,(K40+U41)))</f>
      </c>
      <c r="AF41" s="4">
        <f>IF(L40&lt;=0,0,MIN($K$10,(L40+V41)))</f>
      </c>
      <c r="AG41" s="4">
        <f>IF(M40&lt;=0,0,MIN($K$11,(M40+W41)))</f>
      </c>
      <c r="AH41" s="4">
        <f>IF(N40&lt;=0,0,MIN($K$12,(N40+X41)))</f>
      </c>
      <c r="AI41" s="4">
        <f>IF(O40&lt;=0,0,MIN($K$13,(O40+Y41)))</f>
      </c>
      <c r="AJ41" s="4">
        <f>IF(P40&lt;=0,0,MIN($K$14,(P40+Z41)))</f>
      </c>
      <c r="AK41" s="4">
        <f>(G40+Q41)-AA41</f>
      </c>
      <c r="AL41" s="4">
        <f>(H40+R41)-AB41</f>
      </c>
      <c r="AM41" s="4">
        <f>(I40+S41)-AC41</f>
      </c>
      <c r="AN41" s="4">
        <f>(J40+T41)-AD41</f>
      </c>
      <c r="AO41" s="4">
        <f>(K40+U41)-AE41</f>
      </c>
      <c r="AP41" s="4">
        <f>(L40+V41)-AF41</f>
      </c>
      <c r="AQ41" s="4">
        <f>(M40+W41)-AG41</f>
      </c>
      <c r="AR41" s="4">
        <f>(N40+X41)-AH41</f>
      </c>
      <c r="AS41" s="4">
        <f>(O40+Y41)-AI41</f>
      </c>
      <c r="AT41" s="4">
        <f>(P40+Z41)-AJ41</f>
      </c>
      <c r="AU41" s="4">
        <f>$B$16+SUM($K$5:$K$14)-SUM(AA41:AJ41)</f>
      </c>
      <c r="AV41" s="4">
        <f>AU41-BE41</f>
      </c>
      <c r="AW41" s="4">
        <f>AV41-BF41</f>
      </c>
      <c r="AX41" s="4">
        <f>AW41-BG41</f>
      </c>
      <c r="AY41" s="4">
        <f>AX41-BH41</f>
      </c>
      <c r="AZ41" s="4">
        <f>AY41-BI41</f>
      </c>
      <c r="BA41" s="4">
        <f>AZ41-BJ41</f>
      </c>
      <c r="BB41" s="4">
        <f>BA41-BK41</f>
      </c>
      <c r="BC41" s="4">
        <f>BB41-BL41</f>
      </c>
      <c r="BD41" s="4">
        <f>BC41-BM41</f>
      </c>
      <c r="BE41" s="4">
        <f>IF(G40&lt;=0,0,MIN(AU41,AK41))</f>
      </c>
      <c r="BF41" s="4">
        <f>IF(H40&lt;=0,0,MIN(AV41,AL41))</f>
      </c>
      <c r="BG41" s="4">
        <f>IF(I40&lt;=0,0,MIN(AW41,AM41))</f>
      </c>
      <c r="BH41" s="4">
        <f>IF(J40&lt;=0,0,MIN(AX41,AN41))</f>
      </c>
      <c r="BI41" s="4">
        <f>IF(K40&lt;=0,0,MIN(AY41,AO41))</f>
      </c>
      <c r="BJ41" s="4">
        <f>IF(L40&lt;=0,0,MIN(AZ41,AP41))</f>
      </c>
      <c r="BK41" s="4">
        <f>IF(M40&lt;=0,0,MIN(BA41,AQ41))</f>
      </c>
      <c r="BL41" s="4">
        <f>IF(N40&lt;=0,0,MIN(BB41,AR41))</f>
      </c>
      <c r="BM41" s="4">
        <f>IF(O40&lt;=0,0,MIN(BC41,AS41))</f>
      </c>
      <c r="BN41" s="4">
        <f>IF(P40&lt;=0,0,MIN(BD41,AT41))</f>
      </c>
    </row>
    <row r="42" spans="1:66" x14ac:dyDescent="0.25">
      <c r="A42">
        <v>15</v>
      </c>
      <c r="B42" s="7">
        <f>EDATE($B$17,15)</f>
      </c>
      <c r="C42" s="4">
        <f>SUM(G42:P42)</f>
      </c>
      <c r="D42" s="4">
        <f>SUM(Q42:Z42)</f>
      </c>
      <c r="E42" s="4">
        <f>SUM(AA42:AJ42)+SUM(BE42:BN42)</f>
      </c>
      <c r="G42" s="4">
        <f>MAX(0,AK42-BE42)</f>
      </c>
      <c r="H42" s="4">
        <f>MAX(0,AL42-BF42)</f>
      </c>
      <c r="I42" s="4">
        <f>MAX(0,AM42-BG42)</f>
      </c>
      <c r="J42" s="4">
        <f>MAX(0,AN42-BH42)</f>
      </c>
      <c r="K42" s="4">
        <f>MAX(0,AO42-BI42)</f>
      </c>
      <c r="L42" s="4">
        <f>MAX(0,AP42-BJ42)</f>
      </c>
      <c r="M42" s="4">
        <f>MAX(0,AQ42-BK42)</f>
      </c>
      <c r="N42" s="4">
        <f>MAX(0,AR42-BL42)</f>
      </c>
      <c r="O42" s="4">
        <f>MAX(0,AS42-BM42)</f>
      </c>
      <c r="P42" s="4">
        <f>MAX(0,AT42-BN42)</f>
      </c>
      <c r="Q42" s="4">
        <f>IF(G41&gt;0,G41*($J$5/100/12),0)</f>
      </c>
      <c r="R42" s="4">
        <f>IF(H41&gt;0,H41*($J$6/100/12),0)</f>
      </c>
      <c r="S42" s="4">
        <f>IF(I41&gt;0,I41*($J$7/100/12),0)</f>
      </c>
      <c r="T42" s="4">
        <f>IF(J41&gt;0,J41*($J$8/100/12),0)</f>
      </c>
      <c r="U42" s="4">
        <f>IF(K41&gt;0,K41*($J$9/100/12),0)</f>
      </c>
      <c r="V42" s="4">
        <f>IF(L41&gt;0,L41*($J$10/100/12),0)</f>
      </c>
      <c r="W42" s="4">
        <f>IF(M41&gt;0,M41*($J$11/100/12),0)</f>
      </c>
      <c r="X42" s="4">
        <f>IF(N41&gt;0,N41*($J$12/100/12),0)</f>
      </c>
      <c r="Y42" s="4">
        <f>IF(O41&gt;0,O41*($J$13/100/12),0)</f>
      </c>
      <c r="Z42" s="4">
        <f>IF(P41&gt;0,P41*($J$14/100/12),0)</f>
      </c>
      <c r="AA42" s="4">
        <f>IF(G41&lt;=0,0,MIN($K$5,(G41+Q42)))</f>
      </c>
      <c r="AB42" s="4">
        <f>IF(H41&lt;=0,0,MIN($K$6,(H41+R42)))</f>
      </c>
      <c r="AC42" s="4">
        <f>IF(I41&lt;=0,0,MIN($K$7,(I41+S42)))</f>
      </c>
      <c r="AD42" s="4">
        <f>IF(J41&lt;=0,0,MIN($K$8,(J41+T42)))</f>
      </c>
      <c r="AE42" s="4">
        <f>IF(K41&lt;=0,0,MIN($K$9,(K41+U42)))</f>
      </c>
      <c r="AF42" s="4">
        <f>IF(L41&lt;=0,0,MIN($K$10,(L41+V42)))</f>
      </c>
      <c r="AG42" s="4">
        <f>IF(M41&lt;=0,0,MIN($K$11,(M41+W42)))</f>
      </c>
      <c r="AH42" s="4">
        <f>IF(N41&lt;=0,0,MIN($K$12,(N41+X42)))</f>
      </c>
      <c r="AI42" s="4">
        <f>IF(O41&lt;=0,0,MIN($K$13,(O41+Y42)))</f>
      </c>
      <c r="AJ42" s="4">
        <f>IF(P41&lt;=0,0,MIN($K$14,(P41+Z42)))</f>
      </c>
      <c r="AK42" s="4">
        <f>(G41+Q42)-AA42</f>
      </c>
      <c r="AL42" s="4">
        <f>(H41+R42)-AB42</f>
      </c>
      <c r="AM42" s="4">
        <f>(I41+S42)-AC42</f>
      </c>
      <c r="AN42" s="4">
        <f>(J41+T42)-AD42</f>
      </c>
      <c r="AO42" s="4">
        <f>(K41+U42)-AE42</f>
      </c>
      <c r="AP42" s="4">
        <f>(L41+V42)-AF42</f>
      </c>
      <c r="AQ42" s="4">
        <f>(M41+W42)-AG42</f>
      </c>
      <c r="AR42" s="4">
        <f>(N41+X42)-AH42</f>
      </c>
      <c r="AS42" s="4">
        <f>(O41+Y42)-AI42</f>
      </c>
      <c r="AT42" s="4">
        <f>(P41+Z42)-AJ42</f>
      </c>
      <c r="AU42" s="4">
        <f>$B$16+SUM($K$5:$K$14)-SUM(AA42:AJ42)</f>
      </c>
      <c r="AV42" s="4">
        <f>AU42-BE42</f>
      </c>
      <c r="AW42" s="4">
        <f>AV42-BF42</f>
      </c>
      <c r="AX42" s="4">
        <f>AW42-BG42</f>
      </c>
      <c r="AY42" s="4">
        <f>AX42-BH42</f>
      </c>
      <c r="AZ42" s="4">
        <f>AY42-BI42</f>
      </c>
      <c r="BA42" s="4">
        <f>AZ42-BJ42</f>
      </c>
      <c r="BB42" s="4">
        <f>BA42-BK42</f>
      </c>
      <c r="BC42" s="4">
        <f>BB42-BL42</f>
      </c>
      <c r="BD42" s="4">
        <f>BC42-BM42</f>
      </c>
      <c r="BE42" s="4">
        <f>IF(G41&lt;=0,0,MIN(AU42,AK42))</f>
      </c>
      <c r="BF42" s="4">
        <f>IF(H41&lt;=0,0,MIN(AV42,AL42))</f>
      </c>
      <c r="BG42" s="4">
        <f>IF(I41&lt;=0,0,MIN(AW42,AM42))</f>
      </c>
      <c r="BH42" s="4">
        <f>IF(J41&lt;=0,0,MIN(AX42,AN42))</f>
      </c>
      <c r="BI42" s="4">
        <f>IF(K41&lt;=0,0,MIN(AY42,AO42))</f>
      </c>
      <c r="BJ42" s="4">
        <f>IF(L41&lt;=0,0,MIN(AZ42,AP42))</f>
      </c>
      <c r="BK42" s="4">
        <f>IF(M41&lt;=0,0,MIN(BA42,AQ42))</f>
      </c>
      <c r="BL42" s="4">
        <f>IF(N41&lt;=0,0,MIN(BB42,AR42))</f>
      </c>
      <c r="BM42" s="4">
        <f>IF(O41&lt;=0,0,MIN(BC42,AS42))</f>
      </c>
      <c r="BN42" s="4">
        <f>IF(P41&lt;=0,0,MIN(BD42,AT42))</f>
      </c>
    </row>
    <row r="43" spans="1:66" x14ac:dyDescent="0.25">
      <c r="A43">
        <v>16</v>
      </c>
      <c r="B43" s="7">
        <f>EDATE($B$17,16)</f>
      </c>
      <c r="C43" s="4">
        <f>SUM(G43:P43)</f>
      </c>
      <c r="D43" s="4">
        <f>SUM(Q43:Z43)</f>
      </c>
      <c r="E43" s="4">
        <f>SUM(AA43:AJ43)+SUM(BE43:BN43)</f>
      </c>
      <c r="G43" s="4">
        <f>MAX(0,AK43-BE43)</f>
      </c>
      <c r="H43" s="4">
        <f>MAX(0,AL43-BF43)</f>
      </c>
      <c r="I43" s="4">
        <f>MAX(0,AM43-BG43)</f>
      </c>
      <c r="J43" s="4">
        <f>MAX(0,AN43-BH43)</f>
      </c>
      <c r="K43" s="4">
        <f>MAX(0,AO43-BI43)</f>
      </c>
      <c r="L43" s="4">
        <f>MAX(0,AP43-BJ43)</f>
      </c>
      <c r="M43" s="4">
        <f>MAX(0,AQ43-BK43)</f>
      </c>
      <c r="N43" s="4">
        <f>MAX(0,AR43-BL43)</f>
      </c>
      <c r="O43" s="4">
        <f>MAX(0,AS43-BM43)</f>
      </c>
      <c r="P43" s="4">
        <f>MAX(0,AT43-BN43)</f>
      </c>
      <c r="Q43" s="4">
        <f>IF(G42&gt;0,G42*($J$5/100/12),0)</f>
      </c>
      <c r="R43" s="4">
        <f>IF(H42&gt;0,H42*($J$6/100/12),0)</f>
      </c>
      <c r="S43" s="4">
        <f>IF(I42&gt;0,I42*($J$7/100/12),0)</f>
      </c>
      <c r="T43" s="4">
        <f>IF(J42&gt;0,J42*($J$8/100/12),0)</f>
      </c>
      <c r="U43" s="4">
        <f>IF(K42&gt;0,K42*($J$9/100/12),0)</f>
      </c>
      <c r="V43" s="4">
        <f>IF(L42&gt;0,L42*($J$10/100/12),0)</f>
      </c>
      <c r="W43" s="4">
        <f>IF(M42&gt;0,M42*($J$11/100/12),0)</f>
      </c>
      <c r="X43" s="4">
        <f>IF(N42&gt;0,N42*($J$12/100/12),0)</f>
      </c>
      <c r="Y43" s="4">
        <f>IF(O42&gt;0,O42*($J$13/100/12),0)</f>
      </c>
      <c r="Z43" s="4">
        <f>IF(P42&gt;0,P42*($J$14/100/12),0)</f>
      </c>
      <c r="AA43" s="4">
        <f>IF(G42&lt;=0,0,MIN($K$5,(G42+Q43)))</f>
      </c>
      <c r="AB43" s="4">
        <f>IF(H42&lt;=0,0,MIN($K$6,(H42+R43)))</f>
      </c>
      <c r="AC43" s="4">
        <f>IF(I42&lt;=0,0,MIN($K$7,(I42+S43)))</f>
      </c>
      <c r="AD43" s="4">
        <f>IF(J42&lt;=0,0,MIN($K$8,(J42+T43)))</f>
      </c>
      <c r="AE43" s="4">
        <f>IF(K42&lt;=0,0,MIN($K$9,(K42+U43)))</f>
      </c>
      <c r="AF43" s="4">
        <f>IF(L42&lt;=0,0,MIN($K$10,(L42+V43)))</f>
      </c>
      <c r="AG43" s="4">
        <f>IF(M42&lt;=0,0,MIN($K$11,(M42+W43)))</f>
      </c>
      <c r="AH43" s="4">
        <f>IF(N42&lt;=0,0,MIN($K$12,(N42+X43)))</f>
      </c>
      <c r="AI43" s="4">
        <f>IF(O42&lt;=0,0,MIN($K$13,(O42+Y43)))</f>
      </c>
      <c r="AJ43" s="4">
        <f>IF(P42&lt;=0,0,MIN($K$14,(P42+Z43)))</f>
      </c>
      <c r="AK43" s="4">
        <f>(G42+Q43)-AA43</f>
      </c>
      <c r="AL43" s="4">
        <f>(H42+R43)-AB43</f>
      </c>
      <c r="AM43" s="4">
        <f>(I42+S43)-AC43</f>
      </c>
      <c r="AN43" s="4">
        <f>(J42+T43)-AD43</f>
      </c>
      <c r="AO43" s="4">
        <f>(K42+U43)-AE43</f>
      </c>
      <c r="AP43" s="4">
        <f>(L42+V43)-AF43</f>
      </c>
      <c r="AQ43" s="4">
        <f>(M42+W43)-AG43</f>
      </c>
      <c r="AR43" s="4">
        <f>(N42+X43)-AH43</f>
      </c>
      <c r="AS43" s="4">
        <f>(O42+Y43)-AI43</f>
      </c>
      <c r="AT43" s="4">
        <f>(P42+Z43)-AJ43</f>
      </c>
      <c r="AU43" s="4">
        <f>$B$16+SUM($K$5:$K$14)-SUM(AA43:AJ43)</f>
      </c>
      <c r="AV43" s="4">
        <f>AU43-BE43</f>
      </c>
      <c r="AW43" s="4">
        <f>AV43-BF43</f>
      </c>
      <c r="AX43" s="4">
        <f>AW43-BG43</f>
      </c>
      <c r="AY43" s="4">
        <f>AX43-BH43</f>
      </c>
      <c r="AZ43" s="4">
        <f>AY43-BI43</f>
      </c>
      <c r="BA43" s="4">
        <f>AZ43-BJ43</f>
      </c>
      <c r="BB43" s="4">
        <f>BA43-BK43</f>
      </c>
      <c r="BC43" s="4">
        <f>BB43-BL43</f>
      </c>
      <c r="BD43" s="4">
        <f>BC43-BM43</f>
      </c>
      <c r="BE43" s="4">
        <f>IF(G42&lt;=0,0,MIN(AU43,AK43))</f>
      </c>
      <c r="BF43" s="4">
        <f>IF(H42&lt;=0,0,MIN(AV43,AL43))</f>
      </c>
      <c r="BG43" s="4">
        <f>IF(I42&lt;=0,0,MIN(AW43,AM43))</f>
      </c>
      <c r="BH43" s="4">
        <f>IF(J42&lt;=0,0,MIN(AX43,AN43))</f>
      </c>
      <c r="BI43" s="4">
        <f>IF(K42&lt;=0,0,MIN(AY43,AO43))</f>
      </c>
      <c r="BJ43" s="4">
        <f>IF(L42&lt;=0,0,MIN(AZ43,AP43))</f>
      </c>
      <c r="BK43" s="4">
        <f>IF(M42&lt;=0,0,MIN(BA43,AQ43))</f>
      </c>
      <c r="BL43" s="4">
        <f>IF(N42&lt;=0,0,MIN(BB43,AR43))</f>
      </c>
      <c r="BM43" s="4">
        <f>IF(O42&lt;=0,0,MIN(BC43,AS43))</f>
      </c>
      <c r="BN43" s="4">
        <f>IF(P42&lt;=0,0,MIN(BD43,AT43))</f>
      </c>
    </row>
    <row r="44" spans="1:66" x14ac:dyDescent="0.25">
      <c r="A44">
        <v>17</v>
      </c>
      <c r="B44" s="7">
        <f>EDATE($B$17,17)</f>
      </c>
      <c r="C44" s="4">
        <f>SUM(G44:P44)</f>
      </c>
      <c r="D44" s="4">
        <f>SUM(Q44:Z44)</f>
      </c>
      <c r="E44" s="4">
        <f>SUM(AA44:AJ44)+SUM(BE44:BN44)</f>
      </c>
      <c r="G44" s="4">
        <f>MAX(0,AK44-BE44)</f>
      </c>
      <c r="H44" s="4">
        <f>MAX(0,AL44-BF44)</f>
      </c>
      <c r="I44" s="4">
        <f>MAX(0,AM44-BG44)</f>
      </c>
      <c r="J44" s="4">
        <f>MAX(0,AN44-BH44)</f>
      </c>
      <c r="K44" s="4">
        <f>MAX(0,AO44-BI44)</f>
      </c>
      <c r="L44" s="4">
        <f>MAX(0,AP44-BJ44)</f>
      </c>
      <c r="M44" s="4">
        <f>MAX(0,AQ44-BK44)</f>
      </c>
      <c r="N44" s="4">
        <f>MAX(0,AR44-BL44)</f>
      </c>
      <c r="O44" s="4">
        <f>MAX(0,AS44-BM44)</f>
      </c>
      <c r="P44" s="4">
        <f>MAX(0,AT44-BN44)</f>
      </c>
      <c r="Q44" s="4">
        <f>IF(G43&gt;0,G43*($J$5/100/12),0)</f>
      </c>
      <c r="R44" s="4">
        <f>IF(H43&gt;0,H43*($J$6/100/12),0)</f>
      </c>
      <c r="S44" s="4">
        <f>IF(I43&gt;0,I43*($J$7/100/12),0)</f>
      </c>
      <c r="T44" s="4">
        <f>IF(J43&gt;0,J43*($J$8/100/12),0)</f>
      </c>
      <c r="U44" s="4">
        <f>IF(K43&gt;0,K43*($J$9/100/12),0)</f>
      </c>
      <c r="V44" s="4">
        <f>IF(L43&gt;0,L43*($J$10/100/12),0)</f>
      </c>
      <c r="W44" s="4">
        <f>IF(M43&gt;0,M43*($J$11/100/12),0)</f>
      </c>
      <c r="X44" s="4">
        <f>IF(N43&gt;0,N43*($J$12/100/12),0)</f>
      </c>
      <c r="Y44" s="4">
        <f>IF(O43&gt;0,O43*($J$13/100/12),0)</f>
      </c>
      <c r="Z44" s="4">
        <f>IF(P43&gt;0,P43*($J$14/100/12),0)</f>
      </c>
      <c r="AA44" s="4">
        <f>IF(G43&lt;=0,0,MIN($K$5,(G43+Q44)))</f>
      </c>
      <c r="AB44" s="4">
        <f>IF(H43&lt;=0,0,MIN($K$6,(H43+R44)))</f>
      </c>
      <c r="AC44" s="4">
        <f>IF(I43&lt;=0,0,MIN($K$7,(I43+S44)))</f>
      </c>
      <c r="AD44" s="4">
        <f>IF(J43&lt;=0,0,MIN($K$8,(J43+T44)))</f>
      </c>
      <c r="AE44" s="4">
        <f>IF(K43&lt;=0,0,MIN($K$9,(K43+U44)))</f>
      </c>
      <c r="AF44" s="4">
        <f>IF(L43&lt;=0,0,MIN($K$10,(L43+V44)))</f>
      </c>
      <c r="AG44" s="4">
        <f>IF(M43&lt;=0,0,MIN($K$11,(M43+W44)))</f>
      </c>
      <c r="AH44" s="4">
        <f>IF(N43&lt;=0,0,MIN($K$12,(N43+X44)))</f>
      </c>
      <c r="AI44" s="4">
        <f>IF(O43&lt;=0,0,MIN($K$13,(O43+Y44)))</f>
      </c>
      <c r="AJ44" s="4">
        <f>IF(P43&lt;=0,0,MIN($K$14,(P43+Z44)))</f>
      </c>
      <c r="AK44" s="4">
        <f>(G43+Q44)-AA44</f>
      </c>
      <c r="AL44" s="4">
        <f>(H43+R44)-AB44</f>
      </c>
      <c r="AM44" s="4">
        <f>(I43+S44)-AC44</f>
      </c>
      <c r="AN44" s="4">
        <f>(J43+T44)-AD44</f>
      </c>
      <c r="AO44" s="4">
        <f>(K43+U44)-AE44</f>
      </c>
      <c r="AP44" s="4">
        <f>(L43+V44)-AF44</f>
      </c>
      <c r="AQ44" s="4">
        <f>(M43+W44)-AG44</f>
      </c>
      <c r="AR44" s="4">
        <f>(N43+X44)-AH44</f>
      </c>
      <c r="AS44" s="4">
        <f>(O43+Y44)-AI44</f>
      </c>
      <c r="AT44" s="4">
        <f>(P43+Z44)-AJ44</f>
      </c>
      <c r="AU44" s="4">
        <f>$B$16+SUM($K$5:$K$14)-SUM(AA44:AJ44)</f>
      </c>
      <c r="AV44" s="4">
        <f>AU44-BE44</f>
      </c>
      <c r="AW44" s="4">
        <f>AV44-BF44</f>
      </c>
      <c r="AX44" s="4">
        <f>AW44-BG44</f>
      </c>
      <c r="AY44" s="4">
        <f>AX44-BH44</f>
      </c>
      <c r="AZ44" s="4">
        <f>AY44-BI44</f>
      </c>
      <c r="BA44" s="4">
        <f>AZ44-BJ44</f>
      </c>
      <c r="BB44" s="4">
        <f>BA44-BK44</f>
      </c>
      <c r="BC44" s="4">
        <f>BB44-BL44</f>
      </c>
      <c r="BD44" s="4">
        <f>BC44-BM44</f>
      </c>
      <c r="BE44" s="4">
        <f>IF(G43&lt;=0,0,MIN(AU44,AK44))</f>
      </c>
      <c r="BF44" s="4">
        <f>IF(H43&lt;=0,0,MIN(AV44,AL44))</f>
      </c>
      <c r="BG44" s="4">
        <f>IF(I43&lt;=0,0,MIN(AW44,AM44))</f>
      </c>
      <c r="BH44" s="4">
        <f>IF(J43&lt;=0,0,MIN(AX44,AN44))</f>
      </c>
      <c r="BI44" s="4">
        <f>IF(K43&lt;=0,0,MIN(AY44,AO44))</f>
      </c>
      <c r="BJ44" s="4">
        <f>IF(L43&lt;=0,0,MIN(AZ44,AP44))</f>
      </c>
      <c r="BK44" s="4">
        <f>IF(M43&lt;=0,0,MIN(BA44,AQ44))</f>
      </c>
      <c r="BL44" s="4">
        <f>IF(N43&lt;=0,0,MIN(BB44,AR44))</f>
      </c>
      <c r="BM44" s="4">
        <f>IF(O43&lt;=0,0,MIN(BC44,AS44))</f>
      </c>
      <c r="BN44" s="4">
        <f>IF(P43&lt;=0,0,MIN(BD44,AT44))</f>
      </c>
    </row>
    <row r="45" spans="1:66" x14ac:dyDescent="0.25">
      <c r="A45">
        <v>18</v>
      </c>
      <c r="B45" s="7">
        <f>EDATE($B$17,18)</f>
      </c>
      <c r="C45" s="4">
        <f>SUM(G45:P45)</f>
      </c>
      <c r="D45" s="4">
        <f>SUM(Q45:Z45)</f>
      </c>
      <c r="E45" s="4">
        <f>SUM(AA45:AJ45)+SUM(BE45:BN45)</f>
      </c>
      <c r="G45" s="4">
        <f>MAX(0,AK45-BE45)</f>
      </c>
      <c r="H45" s="4">
        <f>MAX(0,AL45-BF45)</f>
      </c>
      <c r="I45" s="4">
        <f>MAX(0,AM45-BG45)</f>
      </c>
      <c r="J45" s="4">
        <f>MAX(0,AN45-BH45)</f>
      </c>
      <c r="K45" s="4">
        <f>MAX(0,AO45-BI45)</f>
      </c>
      <c r="L45" s="4">
        <f>MAX(0,AP45-BJ45)</f>
      </c>
      <c r="M45" s="4">
        <f>MAX(0,AQ45-BK45)</f>
      </c>
      <c r="N45" s="4">
        <f>MAX(0,AR45-BL45)</f>
      </c>
      <c r="O45" s="4">
        <f>MAX(0,AS45-BM45)</f>
      </c>
      <c r="P45" s="4">
        <f>MAX(0,AT45-BN45)</f>
      </c>
      <c r="Q45" s="4">
        <f>IF(G44&gt;0,G44*($J$5/100/12),0)</f>
      </c>
      <c r="R45" s="4">
        <f>IF(H44&gt;0,H44*($J$6/100/12),0)</f>
      </c>
      <c r="S45" s="4">
        <f>IF(I44&gt;0,I44*($J$7/100/12),0)</f>
      </c>
      <c r="T45" s="4">
        <f>IF(J44&gt;0,J44*($J$8/100/12),0)</f>
      </c>
      <c r="U45" s="4">
        <f>IF(K44&gt;0,K44*($J$9/100/12),0)</f>
      </c>
      <c r="V45" s="4">
        <f>IF(L44&gt;0,L44*($J$10/100/12),0)</f>
      </c>
      <c r="W45" s="4">
        <f>IF(M44&gt;0,M44*($J$11/100/12),0)</f>
      </c>
      <c r="X45" s="4">
        <f>IF(N44&gt;0,N44*($J$12/100/12),0)</f>
      </c>
      <c r="Y45" s="4">
        <f>IF(O44&gt;0,O44*($J$13/100/12),0)</f>
      </c>
      <c r="Z45" s="4">
        <f>IF(P44&gt;0,P44*($J$14/100/12),0)</f>
      </c>
      <c r="AA45" s="4">
        <f>IF(G44&lt;=0,0,MIN($K$5,(G44+Q45)))</f>
      </c>
      <c r="AB45" s="4">
        <f>IF(H44&lt;=0,0,MIN($K$6,(H44+R45)))</f>
      </c>
      <c r="AC45" s="4">
        <f>IF(I44&lt;=0,0,MIN($K$7,(I44+S45)))</f>
      </c>
      <c r="AD45" s="4">
        <f>IF(J44&lt;=0,0,MIN($K$8,(J44+T45)))</f>
      </c>
      <c r="AE45" s="4">
        <f>IF(K44&lt;=0,0,MIN($K$9,(K44+U45)))</f>
      </c>
      <c r="AF45" s="4">
        <f>IF(L44&lt;=0,0,MIN($K$10,(L44+V45)))</f>
      </c>
      <c r="AG45" s="4">
        <f>IF(M44&lt;=0,0,MIN($K$11,(M44+W45)))</f>
      </c>
      <c r="AH45" s="4">
        <f>IF(N44&lt;=0,0,MIN($K$12,(N44+X45)))</f>
      </c>
      <c r="AI45" s="4">
        <f>IF(O44&lt;=0,0,MIN($K$13,(O44+Y45)))</f>
      </c>
      <c r="AJ45" s="4">
        <f>IF(P44&lt;=0,0,MIN($K$14,(P44+Z45)))</f>
      </c>
      <c r="AK45" s="4">
        <f>(G44+Q45)-AA45</f>
      </c>
      <c r="AL45" s="4">
        <f>(H44+R45)-AB45</f>
      </c>
      <c r="AM45" s="4">
        <f>(I44+S45)-AC45</f>
      </c>
      <c r="AN45" s="4">
        <f>(J44+T45)-AD45</f>
      </c>
      <c r="AO45" s="4">
        <f>(K44+U45)-AE45</f>
      </c>
      <c r="AP45" s="4">
        <f>(L44+V45)-AF45</f>
      </c>
      <c r="AQ45" s="4">
        <f>(M44+W45)-AG45</f>
      </c>
      <c r="AR45" s="4">
        <f>(N44+X45)-AH45</f>
      </c>
      <c r="AS45" s="4">
        <f>(O44+Y45)-AI45</f>
      </c>
      <c r="AT45" s="4">
        <f>(P44+Z45)-AJ45</f>
      </c>
      <c r="AU45" s="4">
        <f>$B$16+SUM($K$5:$K$14)-SUM(AA45:AJ45)</f>
      </c>
      <c r="AV45" s="4">
        <f>AU45-BE45</f>
      </c>
      <c r="AW45" s="4">
        <f>AV45-BF45</f>
      </c>
      <c r="AX45" s="4">
        <f>AW45-BG45</f>
      </c>
      <c r="AY45" s="4">
        <f>AX45-BH45</f>
      </c>
      <c r="AZ45" s="4">
        <f>AY45-BI45</f>
      </c>
      <c r="BA45" s="4">
        <f>AZ45-BJ45</f>
      </c>
      <c r="BB45" s="4">
        <f>BA45-BK45</f>
      </c>
      <c r="BC45" s="4">
        <f>BB45-BL45</f>
      </c>
      <c r="BD45" s="4">
        <f>BC45-BM45</f>
      </c>
      <c r="BE45" s="4">
        <f>IF(G44&lt;=0,0,MIN(AU45,AK45))</f>
      </c>
      <c r="BF45" s="4">
        <f>IF(H44&lt;=0,0,MIN(AV45,AL45))</f>
      </c>
      <c r="BG45" s="4">
        <f>IF(I44&lt;=0,0,MIN(AW45,AM45))</f>
      </c>
      <c r="BH45" s="4">
        <f>IF(J44&lt;=0,0,MIN(AX45,AN45))</f>
      </c>
      <c r="BI45" s="4">
        <f>IF(K44&lt;=0,0,MIN(AY45,AO45))</f>
      </c>
      <c r="BJ45" s="4">
        <f>IF(L44&lt;=0,0,MIN(AZ45,AP45))</f>
      </c>
      <c r="BK45" s="4">
        <f>IF(M44&lt;=0,0,MIN(BA45,AQ45))</f>
      </c>
      <c r="BL45" s="4">
        <f>IF(N44&lt;=0,0,MIN(BB45,AR45))</f>
      </c>
      <c r="BM45" s="4">
        <f>IF(O44&lt;=0,0,MIN(BC45,AS45))</f>
      </c>
      <c r="BN45" s="4">
        <f>IF(P44&lt;=0,0,MIN(BD45,AT45))</f>
      </c>
    </row>
    <row r="46" spans="1:66" x14ac:dyDescent="0.25">
      <c r="A46">
        <v>19</v>
      </c>
      <c r="B46" s="7">
        <f>EDATE($B$17,19)</f>
      </c>
      <c r="C46" s="4">
        <f>SUM(G46:P46)</f>
      </c>
      <c r="D46" s="4">
        <f>SUM(Q46:Z46)</f>
      </c>
      <c r="E46" s="4">
        <f>SUM(AA46:AJ46)+SUM(BE46:BN46)</f>
      </c>
      <c r="G46" s="4">
        <f>MAX(0,AK46-BE46)</f>
      </c>
      <c r="H46" s="4">
        <f>MAX(0,AL46-BF46)</f>
      </c>
      <c r="I46" s="4">
        <f>MAX(0,AM46-BG46)</f>
      </c>
      <c r="J46" s="4">
        <f>MAX(0,AN46-BH46)</f>
      </c>
      <c r="K46" s="4">
        <f>MAX(0,AO46-BI46)</f>
      </c>
      <c r="L46" s="4">
        <f>MAX(0,AP46-BJ46)</f>
      </c>
      <c r="M46" s="4">
        <f>MAX(0,AQ46-BK46)</f>
      </c>
      <c r="N46" s="4">
        <f>MAX(0,AR46-BL46)</f>
      </c>
      <c r="O46" s="4">
        <f>MAX(0,AS46-BM46)</f>
      </c>
      <c r="P46" s="4">
        <f>MAX(0,AT46-BN46)</f>
      </c>
      <c r="Q46" s="4">
        <f>IF(G45&gt;0,G45*($J$5/100/12),0)</f>
      </c>
      <c r="R46" s="4">
        <f>IF(H45&gt;0,H45*($J$6/100/12),0)</f>
      </c>
      <c r="S46" s="4">
        <f>IF(I45&gt;0,I45*($J$7/100/12),0)</f>
      </c>
      <c r="T46" s="4">
        <f>IF(J45&gt;0,J45*($J$8/100/12),0)</f>
      </c>
      <c r="U46" s="4">
        <f>IF(K45&gt;0,K45*($J$9/100/12),0)</f>
      </c>
      <c r="V46" s="4">
        <f>IF(L45&gt;0,L45*($J$10/100/12),0)</f>
      </c>
      <c r="W46" s="4">
        <f>IF(M45&gt;0,M45*($J$11/100/12),0)</f>
      </c>
      <c r="X46" s="4">
        <f>IF(N45&gt;0,N45*($J$12/100/12),0)</f>
      </c>
      <c r="Y46" s="4">
        <f>IF(O45&gt;0,O45*($J$13/100/12),0)</f>
      </c>
      <c r="Z46" s="4">
        <f>IF(P45&gt;0,P45*($J$14/100/12),0)</f>
      </c>
      <c r="AA46" s="4">
        <f>IF(G45&lt;=0,0,MIN($K$5,(G45+Q46)))</f>
      </c>
      <c r="AB46" s="4">
        <f>IF(H45&lt;=0,0,MIN($K$6,(H45+R46)))</f>
      </c>
      <c r="AC46" s="4">
        <f>IF(I45&lt;=0,0,MIN($K$7,(I45+S46)))</f>
      </c>
      <c r="AD46" s="4">
        <f>IF(J45&lt;=0,0,MIN($K$8,(J45+T46)))</f>
      </c>
      <c r="AE46" s="4">
        <f>IF(K45&lt;=0,0,MIN($K$9,(K45+U46)))</f>
      </c>
      <c r="AF46" s="4">
        <f>IF(L45&lt;=0,0,MIN($K$10,(L45+V46)))</f>
      </c>
      <c r="AG46" s="4">
        <f>IF(M45&lt;=0,0,MIN($K$11,(M45+W46)))</f>
      </c>
      <c r="AH46" s="4">
        <f>IF(N45&lt;=0,0,MIN($K$12,(N45+X46)))</f>
      </c>
      <c r="AI46" s="4">
        <f>IF(O45&lt;=0,0,MIN($K$13,(O45+Y46)))</f>
      </c>
      <c r="AJ46" s="4">
        <f>IF(P45&lt;=0,0,MIN($K$14,(P45+Z46)))</f>
      </c>
      <c r="AK46" s="4">
        <f>(G45+Q46)-AA46</f>
      </c>
      <c r="AL46" s="4">
        <f>(H45+R46)-AB46</f>
      </c>
      <c r="AM46" s="4">
        <f>(I45+S46)-AC46</f>
      </c>
      <c r="AN46" s="4">
        <f>(J45+T46)-AD46</f>
      </c>
      <c r="AO46" s="4">
        <f>(K45+U46)-AE46</f>
      </c>
      <c r="AP46" s="4">
        <f>(L45+V46)-AF46</f>
      </c>
      <c r="AQ46" s="4">
        <f>(M45+W46)-AG46</f>
      </c>
      <c r="AR46" s="4">
        <f>(N45+X46)-AH46</f>
      </c>
      <c r="AS46" s="4">
        <f>(O45+Y46)-AI46</f>
      </c>
      <c r="AT46" s="4">
        <f>(P45+Z46)-AJ46</f>
      </c>
      <c r="AU46" s="4">
        <f>$B$16+SUM($K$5:$K$14)-SUM(AA46:AJ46)</f>
      </c>
      <c r="AV46" s="4">
        <f>AU46-BE46</f>
      </c>
      <c r="AW46" s="4">
        <f>AV46-BF46</f>
      </c>
      <c r="AX46" s="4">
        <f>AW46-BG46</f>
      </c>
      <c r="AY46" s="4">
        <f>AX46-BH46</f>
      </c>
      <c r="AZ46" s="4">
        <f>AY46-BI46</f>
      </c>
      <c r="BA46" s="4">
        <f>AZ46-BJ46</f>
      </c>
      <c r="BB46" s="4">
        <f>BA46-BK46</f>
      </c>
      <c r="BC46" s="4">
        <f>BB46-BL46</f>
      </c>
      <c r="BD46" s="4">
        <f>BC46-BM46</f>
      </c>
      <c r="BE46" s="4">
        <f>IF(G45&lt;=0,0,MIN(AU46,AK46))</f>
      </c>
      <c r="BF46" s="4">
        <f>IF(H45&lt;=0,0,MIN(AV46,AL46))</f>
      </c>
      <c r="BG46" s="4">
        <f>IF(I45&lt;=0,0,MIN(AW46,AM46))</f>
      </c>
      <c r="BH46" s="4">
        <f>IF(J45&lt;=0,0,MIN(AX46,AN46))</f>
      </c>
      <c r="BI46" s="4">
        <f>IF(K45&lt;=0,0,MIN(AY46,AO46))</f>
      </c>
      <c r="BJ46" s="4">
        <f>IF(L45&lt;=0,0,MIN(AZ46,AP46))</f>
      </c>
      <c r="BK46" s="4">
        <f>IF(M45&lt;=0,0,MIN(BA46,AQ46))</f>
      </c>
      <c r="BL46" s="4">
        <f>IF(N45&lt;=0,0,MIN(BB46,AR46))</f>
      </c>
      <c r="BM46" s="4">
        <f>IF(O45&lt;=0,0,MIN(BC46,AS46))</f>
      </c>
      <c r="BN46" s="4">
        <f>IF(P45&lt;=0,0,MIN(BD46,AT46))</f>
      </c>
    </row>
    <row r="47" spans="1:66" x14ac:dyDescent="0.25">
      <c r="A47">
        <v>20</v>
      </c>
      <c r="B47" s="7">
        <f>EDATE($B$17,20)</f>
      </c>
      <c r="C47" s="4">
        <f>SUM(G47:P47)</f>
      </c>
      <c r="D47" s="4">
        <f>SUM(Q47:Z47)</f>
      </c>
      <c r="E47" s="4">
        <f>SUM(AA47:AJ47)+SUM(BE47:BN47)</f>
      </c>
      <c r="G47" s="4">
        <f>MAX(0,AK47-BE47)</f>
      </c>
      <c r="H47" s="4">
        <f>MAX(0,AL47-BF47)</f>
      </c>
      <c r="I47" s="4">
        <f>MAX(0,AM47-BG47)</f>
      </c>
      <c r="J47" s="4">
        <f>MAX(0,AN47-BH47)</f>
      </c>
      <c r="K47" s="4">
        <f>MAX(0,AO47-BI47)</f>
      </c>
      <c r="L47" s="4">
        <f>MAX(0,AP47-BJ47)</f>
      </c>
      <c r="M47" s="4">
        <f>MAX(0,AQ47-BK47)</f>
      </c>
      <c r="N47" s="4">
        <f>MAX(0,AR47-BL47)</f>
      </c>
      <c r="O47" s="4">
        <f>MAX(0,AS47-BM47)</f>
      </c>
      <c r="P47" s="4">
        <f>MAX(0,AT47-BN47)</f>
      </c>
      <c r="Q47" s="4">
        <f>IF(G46&gt;0,G46*($J$5/100/12),0)</f>
      </c>
      <c r="R47" s="4">
        <f>IF(H46&gt;0,H46*($J$6/100/12),0)</f>
      </c>
      <c r="S47" s="4">
        <f>IF(I46&gt;0,I46*($J$7/100/12),0)</f>
      </c>
      <c r="T47" s="4">
        <f>IF(J46&gt;0,J46*($J$8/100/12),0)</f>
      </c>
      <c r="U47" s="4">
        <f>IF(K46&gt;0,K46*($J$9/100/12),0)</f>
      </c>
      <c r="V47" s="4">
        <f>IF(L46&gt;0,L46*($J$10/100/12),0)</f>
      </c>
      <c r="W47" s="4">
        <f>IF(M46&gt;0,M46*($J$11/100/12),0)</f>
      </c>
      <c r="X47" s="4">
        <f>IF(N46&gt;0,N46*($J$12/100/12),0)</f>
      </c>
      <c r="Y47" s="4">
        <f>IF(O46&gt;0,O46*($J$13/100/12),0)</f>
      </c>
      <c r="Z47" s="4">
        <f>IF(P46&gt;0,P46*($J$14/100/12),0)</f>
      </c>
      <c r="AA47" s="4">
        <f>IF(G46&lt;=0,0,MIN($K$5,(G46+Q47)))</f>
      </c>
      <c r="AB47" s="4">
        <f>IF(H46&lt;=0,0,MIN($K$6,(H46+R47)))</f>
      </c>
      <c r="AC47" s="4">
        <f>IF(I46&lt;=0,0,MIN($K$7,(I46+S47)))</f>
      </c>
      <c r="AD47" s="4">
        <f>IF(J46&lt;=0,0,MIN($K$8,(J46+T47)))</f>
      </c>
      <c r="AE47" s="4">
        <f>IF(K46&lt;=0,0,MIN($K$9,(K46+U47)))</f>
      </c>
      <c r="AF47" s="4">
        <f>IF(L46&lt;=0,0,MIN($K$10,(L46+V47)))</f>
      </c>
      <c r="AG47" s="4">
        <f>IF(M46&lt;=0,0,MIN($K$11,(M46+W47)))</f>
      </c>
      <c r="AH47" s="4">
        <f>IF(N46&lt;=0,0,MIN($K$12,(N46+X47)))</f>
      </c>
      <c r="AI47" s="4">
        <f>IF(O46&lt;=0,0,MIN($K$13,(O46+Y47)))</f>
      </c>
      <c r="AJ47" s="4">
        <f>IF(P46&lt;=0,0,MIN($K$14,(P46+Z47)))</f>
      </c>
      <c r="AK47" s="4">
        <f>(G46+Q47)-AA47</f>
      </c>
      <c r="AL47" s="4">
        <f>(H46+R47)-AB47</f>
      </c>
      <c r="AM47" s="4">
        <f>(I46+S47)-AC47</f>
      </c>
      <c r="AN47" s="4">
        <f>(J46+T47)-AD47</f>
      </c>
      <c r="AO47" s="4">
        <f>(K46+U47)-AE47</f>
      </c>
      <c r="AP47" s="4">
        <f>(L46+V47)-AF47</f>
      </c>
      <c r="AQ47" s="4">
        <f>(M46+W47)-AG47</f>
      </c>
      <c r="AR47" s="4">
        <f>(N46+X47)-AH47</f>
      </c>
      <c r="AS47" s="4">
        <f>(O46+Y47)-AI47</f>
      </c>
      <c r="AT47" s="4">
        <f>(P46+Z47)-AJ47</f>
      </c>
      <c r="AU47" s="4">
        <f>$B$16+SUM($K$5:$K$14)-SUM(AA47:AJ47)</f>
      </c>
      <c r="AV47" s="4">
        <f>AU47-BE47</f>
      </c>
      <c r="AW47" s="4">
        <f>AV47-BF47</f>
      </c>
      <c r="AX47" s="4">
        <f>AW47-BG47</f>
      </c>
      <c r="AY47" s="4">
        <f>AX47-BH47</f>
      </c>
      <c r="AZ47" s="4">
        <f>AY47-BI47</f>
      </c>
      <c r="BA47" s="4">
        <f>AZ47-BJ47</f>
      </c>
      <c r="BB47" s="4">
        <f>BA47-BK47</f>
      </c>
      <c r="BC47" s="4">
        <f>BB47-BL47</f>
      </c>
      <c r="BD47" s="4">
        <f>BC47-BM47</f>
      </c>
      <c r="BE47" s="4">
        <f>IF(G46&lt;=0,0,MIN(AU47,AK47))</f>
      </c>
      <c r="BF47" s="4">
        <f>IF(H46&lt;=0,0,MIN(AV47,AL47))</f>
      </c>
      <c r="BG47" s="4">
        <f>IF(I46&lt;=0,0,MIN(AW47,AM47))</f>
      </c>
      <c r="BH47" s="4">
        <f>IF(J46&lt;=0,0,MIN(AX47,AN47))</f>
      </c>
      <c r="BI47" s="4">
        <f>IF(K46&lt;=0,0,MIN(AY47,AO47))</f>
      </c>
      <c r="BJ47" s="4">
        <f>IF(L46&lt;=0,0,MIN(AZ47,AP47))</f>
      </c>
      <c r="BK47" s="4">
        <f>IF(M46&lt;=0,0,MIN(BA47,AQ47))</f>
      </c>
      <c r="BL47" s="4">
        <f>IF(N46&lt;=0,0,MIN(BB47,AR47))</f>
      </c>
      <c r="BM47" s="4">
        <f>IF(O46&lt;=0,0,MIN(BC47,AS47))</f>
      </c>
      <c r="BN47" s="4">
        <f>IF(P46&lt;=0,0,MIN(BD47,AT47))</f>
      </c>
    </row>
    <row r="48" spans="1:66" x14ac:dyDescent="0.25">
      <c r="A48">
        <v>21</v>
      </c>
      <c r="B48" s="7">
        <f>EDATE($B$17,21)</f>
      </c>
      <c r="C48" s="4">
        <f>SUM(G48:P48)</f>
      </c>
      <c r="D48" s="4">
        <f>SUM(Q48:Z48)</f>
      </c>
      <c r="E48" s="4">
        <f>SUM(AA48:AJ48)+SUM(BE48:BN48)</f>
      </c>
      <c r="G48" s="4">
        <f>MAX(0,AK48-BE48)</f>
      </c>
      <c r="H48" s="4">
        <f>MAX(0,AL48-BF48)</f>
      </c>
      <c r="I48" s="4">
        <f>MAX(0,AM48-BG48)</f>
      </c>
      <c r="J48" s="4">
        <f>MAX(0,AN48-BH48)</f>
      </c>
      <c r="K48" s="4">
        <f>MAX(0,AO48-BI48)</f>
      </c>
      <c r="L48" s="4">
        <f>MAX(0,AP48-BJ48)</f>
      </c>
      <c r="M48" s="4">
        <f>MAX(0,AQ48-BK48)</f>
      </c>
      <c r="N48" s="4">
        <f>MAX(0,AR48-BL48)</f>
      </c>
      <c r="O48" s="4">
        <f>MAX(0,AS48-BM48)</f>
      </c>
      <c r="P48" s="4">
        <f>MAX(0,AT48-BN48)</f>
      </c>
      <c r="Q48" s="4">
        <f>IF(G47&gt;0,G47*($J$5/100/12),0)</f>
      </c>
      <c r="R48" s="4">
        <f>IF(H47&gt;0,H47*($J$6/100/12),0)</f>
      </c>
      <c r="S48" s="4">
        <f>IF(I47&gt;0,I47*($J$7/100/12),0)</f>
      </c>
      <c r="T48" s="4">
        <f>IF(J47&gt;0,J47*($J$8/100/12),0)</f>
      </c>
      <c r="U48" s="4">
        <f>IF(K47&gt;0,K47*($J$9/100/12),0)</f>
      </c>
      <c r="V48" s="4">
        <f>IF(L47&gt;0,L47*($J$10/100/12),0)</f>
      </c>
      <c r="W48" s="4">
        <f>IF(M47&gt;0,M47*($J$11/100/12),0)</f>
      </c>
      <c r="X48" s="4">
        <f>IF(N47&gt;0,N47*($J$12/100/12),0)</f>
      </c>
      <c r="Y48" s="4">
        <f>IF(O47&gt;0,O47*($J$13/100/12),0)</f>
      </c>
      <c r="Z48" s="4">
        <f>IF(P47&gt;0,P47*($J$14/100/12),0)</f>
      </c>
      <c r="AA48" s="4">
        <f>IF(G47&lt;=0,0,MIN($K$5,(G47+Q48)))</f>
      </c>
      <c r="AB48" s="4">
        <f>IF(H47&lt;=0,0,MIN($K$6,(H47+R48)))</f>
      </c>
      <c r="AC48" s="4">
        <f>IF(I47&lt;=0,0,MIN($K$7,(I47+S48)))</f>
      </c>
      <c r="AD48" s="4">
        <f>IF(J47&lt;=0,0,MIN($K$8,(J47+T48)))</f>
      </c>
      <c r="AE48" s="4">
        <f>IF(K47&lt;=0,0,MIN($K$9,(K47+U48)))</f>
      </c>
      <c r="AF48" s="4">
        <f>IF(L47&lt;=0,0,MIN($K$10,(L47+V48)))</f>
      </c>
      <c r="AG48" s="4">
        <f>IF(M47&lt;=0,0,MIN($K$11,(M47+W48)))</f>
      </c>
      <c r="AH48" s="4">
        <f>IF(N47&lt;=0,0,MIN($K$12,(N47+X48)))</f>
      </c>
      <c r="AI48" s="4">
        <f>IF(O47&lt;=0,0,MIN($K$13,(O47+Y48)))</f>
      </c>
      <c r="AJ48" s="4">
        <f>IF(P47&lt;=0,0,MIN($K$14,(P47+Z48)))</f>
      </c>
      <c r="AK48" s="4">
        <f>(G47+Q48)-AA48</f>
      </c>
      <c r="AL48" s="4">
        <f>(H47+R48)-AB48</f>
      </c>
      <c r="AM48" s="4">
        <f>(I47+S48)-AC48</f>
      </c>
      <c r="AN48" s="4">
        <f>(J47+T48)-AD48</f>
      </c>
      <c r="AO48" s="4">
        <f>(K47+U48)-AE48</f>
      </c>
      <c r="AP48" s="4">
        <f>(L47+V48)-AF48</f>
      </c>
      <c r="AQ48" s="4">
        <f>(M47+W48)-AG48</f>
      </c>
      <c r="AR48" s="4">
        <f>(N47+X48)-AH48</f>
      </c>
      <c r="AS48" s="4">
        <f>(O47+Y48)-AI48</f>
      </c>
      <c r="AT48" s="4">
        <f>(P47+Z48)-AJ48</f>
      </c>
      <c r="AU48" s="4">
        <f>$B$16+SUM($K$5:$K$14)-SUM(AA48:AJ48)</f>
      </c>
      <c r="AV48" s="4">
        <f>AU48-BE48</f>
      </c>
      <c r="AW48" s="4">
        <f>AV48-BF48</f>
      </c>
      <c r="AX48" s="4">
        <f>AW48-BG48</f>
      </c>
      <c r="AY48" s="4">
        <f>AX48-BH48</f>
      </c>
      <c r="AZ48" s="4">
        <f>AY48-BI48</f>
      </c>
      <c r="BA48" s="4">
        <f>AZ48-BJ48</f>
      </c>
      <c r="BB48" s="4">
        <f>BA48-BK48</f>
      </c>
      <c r="BC48" s="4">
        <f>BB48-BL48</f>
      </c>
      <c r="BD48" s="4">
        <f>BC48-BM48</f>
      </c>
      <c r="BE48" s="4">
        <f>IF(G47&lt;=0,0,MIN(AU48,AK48))</f>
      </c>
      <c r="BF48" s="4">
        <f>IF(H47&lt;=0,0,MIN(AV48,AL48))</f>
      </c>
      <c r="BG48" s="4">
        <f>IF(I47&lt;=0,0,MIN(AW48,AM48))</f>
      </c>
      <c r="BH48" s="4">
        <f>IF(J47&lt;=0,0,MIN(AX48,AN48))</f>
      </c>
      <c r="BI48" s="4">
        <f>IF(K47&lt;=0,0,MIN(AY48,AO48))</f>
      </c>
      <c r="BJ48" s="4">
        <f>IF(L47&lt;=0,0,MIN(AZ48,AP48))</f>
      </c>
      <c r="BK48" s="4">
        <f>IF(M47&lt;=0,0,MIN(BA48,AQ48))</f>
      </c>
      <c r="BL48" s="4">
        <f>IF(N47&lt;=0,0,MIN(BB48,AR48))</f>
      </c>
      <c r="BM48" s="4">
        <f>IF(O47&lt;=0,0,MIN(BC48,AS48))</f>
      </c>
      <c r="BN48" s="4">
        <f>IF(P47&lt;=0,0,MIN(BD48,AT48))</f>
      </c>
    </row>
    <row r="49" spans="1:66" x14ac:dyDescent="0.25">
      <c r="A49">
        <v>22</v>
      </c>
      <c r="B49" s="7">
        <f>EDATE($B$17,22)</f>
      </c>
      <c r="C49" s="4">
        <f>SUM(G49:P49)</f>
      </c>
      <c r="D49" s="4">
        <f>SUM(Q49:Z49)</f>
      </c>
      <c r="E49" s="4">
        <f>SUM(AA49:AJ49)+SUM(BE49:BN49)</f>
      </c>
      <c r="G49" s="4">
        <f>MAX(0,AK49-BE49)</f>
      </c>
      <c r="H49" s="4">
        <f>MAX(0,AL49-BF49)</f>
      </c>
      <c r="I49" s="4">
        <f>MAX(0,AM49-BG49)</f>
      </c>
      <c r="J49" s="4">
        <f>MAX(0,AN49-BH49)</f>
      </c>
      <c r="K49" s="4">
        <f>MAX(0,AO49-BI49)</f>
      </c>
      <c r="L49" s="4">
        <f>MAX(0,AP49-BJ49)</f>
      </c>
      <c r="M49" s="4">
        <f>MAX(0,AQ49-BK49)</f>
      </c>
      <c r="N49" s="4">
        <f>MAX(0,AR49-BL49)</f>
      </c>
      <c r="O49" s="4">
        <f>MAX(0,AS49-BM49)</f>
      </c>
      <c r="P49" s="4">
        <f>MAX(0,AT49-BN49)</f>
      </c>
      <c r="Q49" s="4">
        <f>IF(G48&gt;0,G48*($J$5/100/12),0)</f>
      </c>
      <c r="R49" s="4">
        <f>IF(H48&gt;0,H48*($J$6/100/12),0)</f>
      </c>
      <c r="S49" s="4">
        <f>IF(I48&gt;0,I48*($J$7/100/12),0)</f>
      </c>
      <c r="T49" s="4">
        <f>IF(J48&gt;0,J48*($J$8/100/12),0)</f>
      </c>
      <c r="U49" s="4">
        <f>IF(K48&gt;0,K48*($J$9/100/12),0)</f>
      </c>
      <c r="V49" s="4">
        <f>IF(L48&gt;0,L48*($J$10/100/12),0)</f>
      </c>
      <c r="W49" s="4">
        <f>IF(M48&gt;0,M48*($J$11/100/12),0)</f>
      </c>
      <c r="X49" s="4">
        <f>IF(N48&gt;0,N48*($J$12/100/12),0)</f>
      </c>
      <c r="Y49" s="4">
        <f>IF(O48&gt;0,O48*($J$13/100/12),0)</f>
      </c>
      <c r="Z49" s="4">
        <f>IF(P48&gt;0,P48*($J$14/100/12),0)</f>
      </c>
      <c r="AA49" s="4">
        <f>IF(G48&lt;=0,0,MIN($K$5,(G48+Q49)))</f>
      </c>
      <c r="AB49" s="4">
        <f>IF(H48&lt;=0,0,MIN($K$6,(H48+R49)))</f>
      </c>
      <c r="AC49" s="4">
        <f>IF(I48&lt;=0,0,MIN($K$7,(I48+S49)))</f>
      </c>
      <c r="AD49" s="4">
        <f>IF(J48&lt;=0,0,MIN($K$8,(J48+T49)))</f>
      </c>
      <c r="AE49" s="4">
        <f>IF(K48&lt;=0,0,MIN($K$9,(K48+U49)))</f>
      </c>
      <c r="AF49" s="4">
        <f>IF(L48&lt;=0,0,MIN($K$10,(L48+V49)))</f>
      </c>
      <c r="AG49" s="4">
        <f>IF(M48&lt;=0,0,MIN($K$11,(M48+W49)))</f>
      </c>
      <c r="AH49" s="4">
        <f>IF(N48&lt;=0,0,MIN($K$12,(N48+X49)))</f>
      </c>
      <c r="AI49" s="4">
        <f>IF(O48&lt;=0,0,MIN($K$13,(O48+Y49)))</f>
      </c>
      <c r="AJ49" s="4">
        <f>IF(P48&lt;=0,0,MIN($K$14,(P48+Z49)))</f>
      </c>
      <c r="AK49" s="4">
        <f>(G48+Q49)-AA49</f>
      </c>
      <c r="AL49" s="4">
        <f>(H48+R49)-AB49</f>
      </c>
      <c r="AM49" s="4">
        <f>(I48+S49)-AC49</f>
      </c>
      <c r="AN49" s="4">
        <f>(J48+T49)-AD49</f>
      </c>
      <c r="AO49" s="4">
        <f>(K48+U49)-AE49</f>
      </c>
      <c r="AP49" s="4">
        <f>(L48+V49)-AF49</f>
      </c>
      <c r="AQ49" s="4">
        <f>(M48+W49)-AG49</f>
      </c>
      <c r="AR49" s="4">
        <f>(N48+X49)-AH49</f>
      </c>
      <c r="AS49" s="4">
        <f>(O48+Y49)-AI49</f>
      </c>
      <c r="AT49" s="4">
        <f>(P48+Z49)-AJ49</f>
      </c>
      <c r="AU49" s="4">
        <f>$B$16+SUM($K$5:$K$14)-SUM(AA49:AJ49)</f>
      </c>
      <c r="AV49" s="4">
        <f>AU49-BE49</f>
      </c>
      <c r="AW49" s="4">
        <f>AV49-BF49</f>
      </c>
      <c r="AX49" s="4">
        <f>AW49-BG49</f>
      </c>
      <c r="AY49" s="4">
        <f>AX49-BH49</f>
      </c>
      <c r="AZ49" s="4">
        <f>AY49-BI49</f>
      </c>
      <c r="BA49" s="4">
        <f>AZ49-BJ49</f>
      </c>
      <c r="BB49" s="4">
        <f>BA49-BK49</f>
      </c>
      <c r="BC49" s="4">
        <f>BB49-BL49</f>
      </c>
      <c r="BD49" s="4">
        <f>BC49-BM49</f>
      </c>
      <c r="BE49" s="4">
        <f>IF(G48&lt;=0,0,MIN(AU49,AK49))</f>
      </c>
      <c r="BF49" s="4">
        <f>IF(H48&lt;=0,0,MIN(AV49,AL49))</f>
      </c>
      <c r="BG49" s="4">
        <f>IF(I48&lt;=0,0,MIN(AW49,AM49))</f>
      </c>
      <c r="BH49" s="4">
        <f>IF(J48&lt;=0,0,MIN(AX49,AN49))</f>
      </c>
      <c r="BI49" s="4">
        <f>IF(K48&lt;=0,0,MIN(AY49,AO49))</f>
      </c>
      <c r="BJ49" s="4">
        <f>IF(L48&lt;=0,0,MIN(AZ49,AP49))</f>
      </c>
      <c r="BK49" s="4">
        <f>IF(M48&lt;=0,0,MIN(BA49,AQ49))</f>
      </c>
      <c r="BL49" s="4">
        <f>IF(N48&lt;=0,0,MIN(BB49,AR49))</f>
      </c>
      <c r="BM49" s="4">
        <f>IF(O48&lt;=0,0,MIN(BC49,AS49))</f>
      </c>
      <c r="BN49" s="4">
        <f>IF(P48&lt;=0,0,MIN(BD49,AT49))</f>
      </c>
    </row>
    <row r="50" spans="1:66" x14ac:dyDescent="0.25">
      <c r="A50">
        <v>23</v>
      </c>
      <c r="B50" s="7">
        <f>EDATE($B$17,23)</f>
      </c>
      <c r="C50" s="4">
        <f>SUM(G50:P50)</f>
      </c>
      <c r="D50" s="4">
        <f>SUM(Q50:Z50)</f>
      </c>
      <c r="E50" s="4">
        <f>SUM(AA50:AJ50)+SUM(BE50:BN50)</f>
      </c>
      <c r="G50" s="4">
        <f>MAX(0,AK50-BE50)</f>
      </c>
      <c r="H50" s="4">
        <f>MAX(0,AL50-BF50)</f>
      </c>
      <c r="I50" s="4">
        <f>MAX(0,AM50-BG50)</f>
      </c>
      <c r="J50" s="4">
        <f>MAX(0,AN50-BH50)</f>
      </c>
      <c r="K50" s="4">
        <f>MAX(0,AO50-BI50)</f>
      </c>
      <c r="L50" s="4">
        <f>MAX(0,AP50-BJ50)</f>
      </c>
      <c r="M50" s="4">
        <f>MAX(0,AQ50-BK50)</f>
      </c>
      <c r="N50" s="4">
        <f>MAX(0,AR50-BL50)</f>
      </c>
      <c r="O50" s="4">
        <f>MAX(0,AS50-BM50)</f>
      </c>
      <c r="P50" s="4">
        <f>MAX(0,AT50-BN50)</f>
      </c>
      <c r="Q50" s="4">
        <f>IF(G49&gt;0,G49*($J$5/100/12),0)</f>
      </c>
      <c r="R50" s="4">
        <f>IF(H49&gt;0,H49*($J$6/100/12),0)</f>
      </c>
      <c r="S50" s="4">
        <f>IF(I49&gt;0,I49*($J$7/100/12),0)</f>
      </c>
      <c r="T50" s="4">
        <f>IF(J49&gt;0,J49*($J$8/100/12),0)</f>
      </c>
      <c r="U50" s="4">
        <f>IF(K49&gt;0,K49*($J$9/100/12),0)</f>
      </c>
      <c r="V50" s="4">
        <f>IF(L49&gt;0,L49*($J$10/100/12),0)</f>
      </c>
      <c r="W50" s="4">
        <f>IF(M49&gt;0,M49*($J$11/100/12),0)</f>
      </c>
      <c r="X50" s="4">
        <f>IF(N49&gt;0,N49*($J$12/100/12),0)</f>
      </c>
      <c r="Y50" s="4">
        <f>IF(O49&gt;0,O49*($J$13/100/12),0)</f>
      </c>
      <c r="Z50" s="4">
        <f>IF(P49&gt;0,P49*($J$14/100/12),0)</f>
      </c>
      <c r="AA50" s="4">
        <f>IF(G49&lt;=0,0,MIN($K$5,(G49+Q50)))</f>
      </c>
      <c r="AB50" s="4">
        <f>IF(H49&lt;=0,0,MIN($K$6,(H49+R50)))</f>
      </c>
      <c r="AC50" s="4">
        <f>IF(I49&lt;=0,0,MIN($K$7,(I49+S50)))</f>
      </c>
      <c r="AD50" s="4">
        <f>IF(J49&lt;=0,0,MIN($K$8,(J49+T50)))</f>
      </c>
      <c r="AE50" s="4">
        <f>IF(K49&lt;=0,0,MIN($K$9,(K49+U50)))</f>
      </c>
      <c r="AF50" s="4">
        <f>IF(L49&lt;=0,0,MIN($K$10,(L49+V50)))</f>
      </c>
      <c r="AG50" s="4">
        <f>IF(M49&lt;=0,0,MIN($K$11,(M49+W50)))</f>
      </c>
      <c r="AH50" s="4">
        <f>IF(N49&lt;=0,0,MIN($K$12,(N49+X50)))</f>
      </c>
      <c r="AI50" s="4">
        <f>IF(O49&lt;=0,0,MIN($K$13,(O49+Y50)))</f>
      </c>
      <c r="AJ50" s="4">
        <f>IF(P49&lt;=0,0,MIN($K$14,(P49+Z50)))</f>
      </c>
      <c r="AK50" s="4">
        <f>(G49+Q50)-AA50</f>
      </c>
      <c r="AL50" s="4">
        <f>(H49+R50)-AB50</f>
      </c>
      <c r="AM50" s="4">
        <f>(I49+S50)-AC50</f>
      </c>
      <c r="AN50" s="4">
        <f>(J49+T50)-AD50</f>
      </c>
      <c r="AO50" s="4">
        <f>(K49+U50)-AE50</f>
      </c>
      <c r="AP50" s="4">
        <f>(L49+V50)-AF50</f>
      </c>
      <c r="AQ50" s="4">
        <f>(M49+W50)-AG50</f>
      </c>
      <c r="AR50" s="4">
        <f>(N49+X50)-AH50</f>
      </c>
      <c r="AS50" s="4">
        <f>(O49+Y50)-AI50</f>
      </c>
      <c r="AT50" s="4">
        <f>(P49+Z50)-AJ50</f>
      </c>
      <c r="AU50" s="4">
        <f>$B$16+SUM($K$5:$K$14)-SUM(AA50:AJ50)</f>
      </c>
      <c r="AV50" s="4">
        <f>AU50-BE50</f>
      </c>
      <c r="AW50" s="4">
        <f>AV50-BF50</f>
      </c>
      <c r="AX50" s="4">
        <f>AW50-BG50</f>
      </c>
      <c r="AY50" s="4">
        <f>AX50-BH50</f>
      </c>
      <c r="AZ50" s="4">
        <f>AY50-BI50</f>
      </c>
      <c r="BA50" s="4">
        <f>AZ50-BJ50</f>
      </c>
      <c r="BB50" s="4">
        <f>BA50-BK50</f>
      </c>
      <c r="BC50" s="4">
        <f>BB50-BL50</f>
      </c>
      <c r="BD50" s="4">
        <f>BC50-BM50</f>
      </c>
      <c r="BE50" s="4">
        <f>IF(G49&lt;=0,0,MIN(AU50,AK50))</f>
      </c>
      <c r="BF50" s="4">
        <f>IF(H49&lt;=0,0,MIN(AV50,AL50))</f>
      </c>
      <c r="BG50" s="4">
        <f>IF(I49&lt;=0,0,MIN(AW50,AM50))</f>
      </c>
      <c r="BH50" s="4">
        <f>IF(J49&lt;=0,0,MIN(AX50,AN50))</f>
      </c>
      <c r="BI50" s="4">
        <f>IF(K49&lt;=0,0,MIN(AY50,AO50))</f>
      </c>
      <c r="BJ50" s="4">
        <f>IF(L49&lt;=0,0,MIN(AZ50,AP50))</f>
      </c>
      <c r="BK50" s="4">
        <f>IF(M49&lt;=0,0,MIN(BA50,AQ50))</f>
      </c>
      <c r="BL50" s="4">
        <f>IF(N49&lt;=0,0,MIN(BB50,AR50))</f>
      </c>
      <c r="BM50" s="4">
        <f>IF(O49&lt;=0,0,MIN(BC50,AS50))</f>
      </c>
      <c r="BN50" s="4">
        <f>IF(P49&lt;=0,0,MIN(BD50,AT50))</f>
      </c>
    </row>
    <row r="51" spans="1:66" x14ac:dyDescent="0.25">
      <c r="A51">
        <v>24</v>
      </c>
      <c r="B51" s="7">
        <f>EDATE($B$17,24)</f>
      </c>
      <c r="C51" s="4">
        <f>SUM(G51:P51)</f>
      </c>
      <c r="D51" s="4">
        <f>SUM(Q51:Z51)</f>
      </c>
      <c r="E51" s="4">
        <f>SUM(AA51:AJ51)+SUM(BE51:BN51)</f>
      </c>
      <c r="G51" s="4">
        <f>MAX(0,AK51-BE51)</f>
      </c>
      <c r="H51" s="4">
        <f>MAX(0,AL51-BF51)</f>
      </c>
      <c r="I51" s="4">
        <f>MAX(0,AM51-BG51)</f>
      </c>
      <c r="J51" s="4">
        <f>MAX(0,AN51-BH51)</f>
      </c>
      <c r="K51" s="4">
        <f>MAX(0,AO51-BI51)</f>
      </c>
      <c r="L51" s="4">
        <f>MAX(0,AP51-BJ51)</f>
      </c>
      <c r="M51" s="4">
        <f>MAX(0,AQ51-BK51)</f>
      </c>
      <c r="N51" s="4">
        <f>MAX(0,AR51-BL51)</f>
      </c>
      <c r="O51" s="4">
        <f>MAX(0,AS51-BM51)</f>
      </c>
      <c r="P51" s="4">
        <f>MAX(0,AT51-BN51)</f>
      </c>
      <c r="Q51" s="4">
        <f>IF(G50&gt;0,G50*($J$5/100/12),0)</f>
      </c>
      <c r="R51" s="4">
        <f>IF(H50&gt;0,H50*($J$6/100/12),0)</f>
      </c>
      <c r="S51" s="4">
        <f>IF(I50&gt;0,I50*($J$7/100/12),0)</f>
      </c>
      <c r="T51" s="4">
        <f>IF(J50&gt;0,J50*($J$8/100/12),0)</f>
      </c>
      <c r="U51" s="4">
        <f>IF(K50&gt;0,K50*($J$9/100/12),0)</f>
      </c>
      <c r="V51" s="4">
        <f>IF(L50&gt;0,L50*($J$10/100/12),0)</f>
      </c>
      <c r="W51" s="4">
        <f>IF(M50&gt;0,M50*($J$11/100/12),0)</f>
      </c>
      <c r="X51" s="4">
        <f>IF(N50&gt;0,N50*($J$12/100/12),0)</f>
      </c>
      <c r="Y51" s="4">
        <f>IF(O50&gt;0,O50*($J$13/100/12),0)</f>
      </c>
      <c r="Z51" s="4">
        <f>IF(P50&gt;0,P50*($J$14/100/12),0)</f>
      </c>
      <c r="AA51" s="4">
        <f>IF(G50&lt;=0,0,MIN($K$5,(G50+Q51)))</f>
      </c>
      <c r="AB51" s="4">
        <f>IF(H50&lt;=0,0,MIN($K$6,(H50+R51)))</f>
      </c>
      <c r="AC51" s="4">
        <f>IF(I50&lt;=0,0,MIN($K$7,(I50+S51)))</f>
      </c>
      <c r="AD51" s="4">
        <f>IF(J50&lt;=0,0,MIN($K$8,(J50+T51)))</f>
      </c>
      <c r="AE51" s="4">
        <f>IF(K50&lt;=0,0,MIN($K$9,(K50+U51)))</f>
      </c>
      <c r="AF51" s="4">
        <f>IF(L50&lt;=0,0,MIN($K$10,(L50+V51)))</f>
      </c>
      <c r="AG51" s="4">
        <f>IF(M50&lt;=0,0,MIN($K$11,(M50+W51)))</f>
      </c>
      <c r="AH51" s="4">
        <f>IF(N50&lt;=0,0,MIN($K$12,(N50+X51)))</f>
      </c>
      <c r="AI51" s="4">
        <f>IF(O50&lt;=0,0,MIN($K$13,(O50+Y51)))</f>
      </c>
      <c r="AJ51" s="4">
        <f>IF(P50&lt;=0,0,MIN($K$14,(P50+Z51)))</f>
      </c>
      <c r="AK51" s="4">
        <f>(G50+Q51)-AA51</f>
      </c>
      <c r="AL51" s="4">
        <f>(H50+R51)-AB51</f>
      </c>
      <c r="AM51" s="4">
        <f>(I50+S51)-AC51</f>
      </c>
      <c r="AN51" s="4">
        <f>(J50+T51)-AD51</f>
      </c>
      <c r="AO51" s="4">
        <f>(K50+U51)-AE51</f>
      </c>
      <c r="AP51" s="4">
        <f>(L50+V51)-AF51</f>
      </c>
      <c r="AQ51" s="4">
        <f>(M50+W51)-AG51</f>
      </c>
      <c r="AR51" s="4">
        <f>(N50+X51)-AH51</f>
      </c>
      <c r="AS51" s="4">
        <f>(O50+Y51)-AI51</f>
      </c>
      <c r="AT51" s="4">
        <f>(P50+Z51)-AJ51</f>
      </c>
      <c r="AU51" s="4">
        <f>$B$16+SUM($K$5:$K$14)-SUM(AA51:AJ51)</f>
      </c>
      <c r="AV51" s="4">
        <f>AU51-BE51</f>
      </c>
      <c r="AW51" s="4">
        <f>AV51-BF51</f>
      </c>
      <c r="AX51" s="4">
        <f>AW51-BG51</f>
      </c>
      <c r="AY51" s="4">
        <f>AX51-BH51</f>
      </c>
      <c r="AZ51" s="4">
        <f>AY51-BI51</f>
      </c>
      <c r="BA51" s="4">
        <f>AZ51-BJ51</f>
      </c>
      <c r="BB51" s="4">
        <f>BA51-BK51</f>
      </c>
      <c r="BC51" s="4">
        <f>BB51-BL51</f>
      </c>
      <c r="BD51" s="4">
        <f>BC51-BM51</f>
      </c>
      <c r="BE51" s="4">
        <f>IF(G50&lt;=0,0,MIN(AU51,AK51))</f>
      </c>
      <c r="BF51" s="4">
        <f>IF(H50&lt;=0,0,MIN(AV51,AL51))</f>
      </c>
      <c r="BG51" s="4">
        <f>IF(I50&lt;=0,0,MIN(AW51,AM51))</f>
      </c>
      <c r="BH51" s="4">
        <f>IF(J50&lt;=0,0,MIN(AX51,AN51))</f>
      </c>
      <c r="BI51" s="4">
        <f>IF(K50&lt;=0,0,MIN(AY51,AO51))</f>
      </c>
      <c r="BJ51" s="4">
        <f>IF(L50&lt;=0,0,MIN(AZ51,AP51))</f>
      </c>
      <c r="BK51" s="4">
        <f>IF(M50&lt;=0,0,MIN(BA51,AQ51))</f>
      </c>
      <c r="BL51" s="4">
        <f>IF(N50&lt;=0,0,MIN(BB51,AR51))</f>
      </c>
      <c r="BM51" s="4">
        <f>IF(O50&lt;=0,0,MIN(BC51,AS51))</f>
      </c>
      <c r="BN51" s="4">
        <f>IF(P50&lt;=0,0,MIN(BD51,AT51))</f>
      </c>
    </row>
    <row r="52" spans="1:66" x14ac:dyDescent="0.25">
      <c r="A52">
        <v>25</v>
      </c>
      <c r="B52" s="7">
        <f>EDATE($B$17,25)</f>
      </c>
      <c r="C52" s="4">
        <f>SUM(G52:P52)</f>
      </c>
      <c r="D52" s="4">
        <f>SUM(Q52:Z52)</f>
      </c>
      <c r="E52" s="4">
        <f>SUM(AA52:AJ52)+SUM(BE52:BN52)</f>
      </c>
      <c r="G52" s="4">
        <f>MAX(0,AK52-BE52)</f>
      </c>
      <c r="H52" s="4">
        <f>MAX(0,AL52-BF52)</f>
      </c>
      <c r="I52" s="4">
        <f>MAX(0,AM52-BG52)</f>
      </c>
      <c r="J52" s="4">
        <f>MAX(0,AN52-BH52)</f>
      </c>
      <c r="K52" s="4">
        <f>MAX(0,AO52-BI52)</f>
      </c>
      <c r="L52" s="4">
        <f>MAX(0,AP52-BJ52)</f>
      </c>
      <c r="M52" s="4">
        <f>MAX(0,AQ52-BK52)</f>
      </c>
      <c r="N52" s="4">
        <f>MAX(0,AR52-BL52)</f>
      </c>
      <c r="O52" s="4">
        <f>MAX(0,AS52-BM52)</f>
      </c>
      <c r="P52" s="4">
        <f>MAX(0,AT52-BN52)</f>
      </c>
      <c r="Q52" s="4">
        <f>IF(G51&gt;0,G51*($J$5/100/12),0)</f>
      </c>
      <c r="R52" s="4">
        <f>IF(H51&gt;0,H51*($J$6/100/12),0)</f>
      </c>
      <c r="S52" s="4">
        <f>IF(I51&gt;0,I51*($J$7/100/12),0)</f>
      </c>
      <c r="T52" s="4">
        <f>IF(J51&gt;0,J51*($J$8/100/12),0)</f>
      </c>
      <c r="U52" s="4">
        <f>IF(K51&gt;0,K51*($J$9/100/12),0)</f>
      </c>
      <c r="V52" s="4">
        <f>IF(L51&gt;0,L51*($J$10/100/12),0)</f>
      </c>
      <c r="W52" s="4">
        <f>IF(M51&gt;0,M51*($J$11/100/12),0)</f>
      </c>
      <c r="X52" s="4">
        <f>IF(N51&gt;0,N51*($J$12/100/12),0)</f>
      </c>
      <c r="Y52" s="4">
        <f>IF(O51&gt;0,O51*($J$13/100/12),0)</f>
      </c>
      <c r="Z52" s="4">
        <f>IF(P51&gt;0,P51*($J$14/100/12),0)</f>
      </c>
      <c r="AA52" s="4">
        <f>IF(G51&lt;=0,0,MIN($K$5,(G51+Q52)))</f>
      </c>
      <c r="AB52" s="4">
        <f>IF(H51&lt;=0,0,MIN($K$6,(H51+R52)))</f>
      </c>
      <c r="AC52" s="4">
        <f>IF(I51&lt;=0,0,MIN($K$7,(I51+S52)))</f>
      </c>
      <c r="AD52" s="4">
        <f>IF(J51&lt;=0,0,MIN($K$8,(J51+T52)))</f>
      </c>
      <c r="AE52" s="4">
        <f>IF(K51&lt;=0,0,MIN($K$9,(K51+U52)))</f>
      </c>
      <c r="AF52" s="4">
        <f>IF(L51&lt;=0,0,MIN($K$10,(L51+V52)))</f>
      </c>
      <c r="AG52" s="4">
        <f>IF(M51&lt;=0,0,MIN($K$11,(M51+W52)))</f>
      </c>
      <c r="AH52" s="4">
        <f>IF(N51&lt;=0,0,MIN($K$12,(N51+X52)))</f>
      </c>
      <c r="AI52" s="4">
        <f>IF(O51&lt;=0,0,MIN($K$13,(O51+Y52)))</f>
      </c>
      <c r="AJ52" s="4">
        <f>IF(P51&lt;=0,0,MIN($K$14,(P51+Z52)))</f>
      </c>
      <c r="AK52" s="4">
        <f>(G51+Q52)-AA52</f>
      </c>
      <c r="AL52" s="4">
        <f>(H51+R52)-AB52</f>
      </c>
      <c r="AM52" s="4">
        <f>(I51+S52)-AC52</f>
      </c>
      <c r="AN52" s="4">
        <f>(J51+T52)-AD52</f>
      </c>
      <c r="AO52" s="4">
        <f>(K51+U52)-AE52</f>
      </c>
      <c r="AP52" s="4">
        <f>(L51+V52)-AF52</f>
      </c>
      <c r="AQ52" s="4">
        <f>(M51+W52)-AG52</f>
      </c>
      <c r="AR52" s="4">
        <f>(N51+X52)-AH52</f>
      </c>
      <c r="AS52" s="4">
        <f>(O51+Y52)-AI52</f>
      </c>
      <c r="AT52" s="4">
        <f>(P51+Z52)-AJ52</f>
      </c>
      <c r="AU52" s="4">
        <f>$B$16+SUM($K$5:$K$14)-SUM(AA52:AJ52)</f>
      </c>
      <c r="AV52" s="4">
        <f>AU52-BE52</f>
      </c>
      <c r="AW52" s="4">
        <f>AV52-BF52</f>
      </c>
      <c r="AX52" s="4">
        <f>AW52-BG52</f>
      </c>
      <c r="AY52" s="4">
        <f>AX52-BH52</f>
      </c>
      <c r="AZ52" s="4">
        <f>AY52-BI52</f>
      </c>
      <c r="BA52" s="4">
        <f>AZ52-BJ52</f>
      </c>
      <c r="BB52" s="4">
        <f>BA52-BK52</f>
      </c>
      <c r="BC52" s="4">
        <f>BB52-BL52</f>
      </c>
      <c r="BD52" s="4">
        <f>BC52-BM52</f>
      </c>
      <c r="BE52" s="4">
        <f>IF(G51&lt;=0,0,MIN(AU52,AK52))</f>
      </c>
      <c r="BF52" s="4">
        <f>IF(H51&lt;=0,0,MIN(AV52,AL52))</f>
      </c>
      <c r="BG52" s="4">
        <f>IF(I51&lt;=0,0,MIN(AW52,AM52))</f>
      </c>
      <c r="BH52" s="4">
        <f>IF(J51&lt;=0,0,MIN(AX52,AN52))</f>
      </c>
      <c r="BI52" s="4">
        <f>IF(K51&lt;=0,0,MIN(AY52,AO52))</f>
      </c>
      <c r="BJ52" s="4">
        <f>IF(L51&lt;=0,0,MIN(AZ52,AP52))</f>
      </c>
      <c r="BK52" s="4">
        <f>IF(M51&lt;=0,0,MIN(BA52,AQ52))</f>
      </c>
      <c r="BL52" s="4">
        <f>IF(N51&lt;=0,0,MIN(BB52,AR52))</f>
      </c>
      <c r="BM52" s="4">
        <f>IF(O51&lt;=0,0,MIN(BC52,AS52))</f>
      </c>
      <c r="BN52" s="4">
        <f>IF(P51&lt;=0,0,MIN(BD52,AT52))</f>
      </c>
    </row>
    <row r="53" spans="1:66" x14ac:dyDescent="0.25">
      <c r="A53">
        <v>26</v>
      </c>
      <c r="B53" s="7">
        <f>EDATE($B$17,26)</f>
      </c>
      <c r="C53" s="4">
        <f>SUM(G53:P53)</f>
      </c>
      <c r="D53" s="4">
        <f>SUM(Q53:Z53)</f>
      </c>
      <c r="E53" s="4">
        <f>SUM(AA53:AJ53)+SUM(BE53:BN53)</f>
      </c>
      <c r="G53" s="4">
        <f>MAX(0,AK53-BE53)</f>
      </c>
      <c r="H53" s="4">
        <f>MAX(0,AL53-BF53)</f>
      </c>
      <c r="I53" s="4">
        <f>MAX(0,AM53-BG53)</f>
      </c>
      <c r="J53" s="4">
        <f>MAX(0,AN53-BH53)</f>
      </c>
      <c r="K53" s="4">
        <f>MAX(0,AO53-BI53)</f>
      </c>
      <c r="L53" s="4">
        <f>MAX(0,AP53-BJ53)</f>
      </c>
      <c r="M53" s="4">
        <f>MAX(0,AQ53-BK53)</f>
      </c>
      <c r="N53" s="4">
        <f>MAX(0,AR53-BL53)</f>
      </c>
      <c r="O53" s="4">
        <f>MAX(0,AS53-BM53)</f>
      </c>
      <c r="P53" s="4">
        <f>MAX(0,AT53-BN53)</f>
      </c>
      <c r="Q53" s="4">
        <f>IF(G52&gt;0,G52*($J$5/100/12),0)</f>
      </c>
      <c r="R53" s="4">
        <f>IF(H52&gt;0,H52*($J$6/100/12),0)</f>
      </c>
      <c r="S53" s="4">
        <f>IF(I52&gt;0,I52*($J$7/100/12),0)</f>
      </c>
      <c r="T53" s="4">
        <f>IF(J52&gt;0,J52*($J$8/100/12),0)</f>
      </c>
      <c r="U53" s="4">
        <f>IF(K52&gt;0,K52*($J$9/100/12),0)</f>
      </c>
      <c r="V53" s="4">
        <f>IF(L52&gt;0,L52*($J$10/100/12),0)</f>
      </c>
      <c r="W53" s="4">
        <f>IF(M52&gt;0,M52*($J$11/100/12),0)</f>
      </c>
      <c r="X53" s="4">
        <f>IF(N52&gt;0,N52*($J$12/100/12),0)</f>
      </c>
      <c r="Y53" s="4">
        <f>IF(O52&gt;0,O52*($J$13/100/12),0)</f>
      </c>
      <c r="Z53" s="4">
        <f>IF(P52&gt;0,P52*($J$14/100/12),0)</f>
      </c>
      <c r="AA53" s="4">
        <f>IF(G52&lt;=0,0,MIN($K$5,(G52+Q53)))</f>
      </c>
      <c r="AB53" s="4">
        <f>IF(H52&lt;=0,0,MIN($K$6,(H52+R53)))</f>
      </c>
      <c r="AC53" s="4">
        <f>IF(I52&lt;=0,0,MIN($K$7,(I52+S53)))</f>
      </c>
      <c r="AD53" s="4">
        <f>IF(J52&lt;=0,0,MIN($K$8,(J52+T53)))</f>
      </c>
      <c r="AE53" s="4">
        <f>IF(K52&lt;=0,0,MIN($K$9,(K52+U53)))</f>
      </c>
      <c r="AF53" s="4">
        <f>IF(L52&lt;=0,0,MIN($K$10,(L52+V53)))</f>
      </c>
      <c r="AG53" s="4">
        <f>IF(M52&lt;=0,0,MIN($K$11,(M52+W53)))</f>
      </c>
      <c r="AH53" s="4">
        <f>IF(N52&lt;=0,0,MIN($K$12,(N52+X53)))</f>
      </c>
      <c r="AI53" s="4">
        <f>IF(O52&lt;=0,0,MIN($K$13,(O52+Y53)))</f>
      </c>
      <c r="AJ53" s="4">
        <f>IF(P52&lt;=0,0,MIN($K$14,(P52+Z53)))</f>
      </c>
      <c r="AK53" s="4">
        <f>(G52+Q53)-AA53</f>
      </c>
      <c r="AL53" s="4">
        <f>(H52+R53)-AB53</f>
      </c>
      <c r="AM53" s="4">
        <f>(I52+S53)-AC53</f>
      </c>
      <c r="AN53" s="4">
        <f>(J52+T53)-AD53</f>
      </c>
      <c r="AO53" s="4">
        <f>(K52+U53)-AE53</f>
      </c>
      <c r="AP53" s="4">
        <f>(L52+V53)-AF53</f>
      </c>
      <c r="AQ53" s="4">
        <f>(M52+W53)-AG53</f>
      </c>
      <c r="AR53" s="4">
        <f>(N52+X53)-AH53</f>
      </c>
      <c r="AS53" s="4">
        <f>(O52+Y53)-AI53</f>
      </c>
      <c r="AT53" s="4">
        <f>(P52+Z53)-AJ53</f>
      </c>
      <c r="AU53" s="4">
        <f>$B$16+SUM($K$5:$K$14)-SUM(AA53:AJ53)</f>
      </c>
      <c r="AV53" s="4">
        <f>AU53-BE53</f>
      </c>
      <c r="AW53" s="4">
        <f>AV53-BF53</f>
      </c>
      <c r="AX53" s="4">
        <f>AW53-BG53</f>
      </c>
      <c r="AY53" s="4">
        <f>AX53-BH53</f>
      </c>
      <c r="AZ53" s="4">
        <f>AY53-BI53</f>
      </c>
      <c r="BA53" s="4">
        <f>AZ53-BJ53</f>
      </c>
      <c r="BB53" s="4">
        <f>BA53-BK53</f>
      </c>
      <c r="BC53" s="4">
        <f>BB53-BL53</f>
      </c>
      <c r="BD53" s="4">
        <f>BC53-BM53</f>
      </c>
      <c r="BE53" s="4">
        <f>IF(G52&lt;=0,0,MIN(AU53,AK53))</f>
      </c>
      <c r="BF53" s="4">
        <f>IF(H52&lt;=0,0,MIN(AV53,AL53))</f>
      </c>
      <c r="BG53" s="4">
        <f>IF(I52&lt;=0,0,MIN(AW53,AM53))</f>
      </c>
      <c r="BH53" s="4">
        <f>IF(J52&lt;=0,0,MIN(AX53,AN53))</f>
      </c>
      <c r="BI53" s="4">
        <f>IF(K52&lt;=0,0,MIN(AY53,AO53))</f>
      </c>
      <c r="BJ53" s="4">
        <f>IF(L52&lt;=0,0,MIN(AZ53,AP53))</f>
      </c>
      <c r="BK53" s="4">
        <f>IF(M52&lt;=0,0,MIN(BA53,AQ53))</f>
      </c>
      <c r="BL53" s="4">
        <f>IF(N52&lt;=0,0,MIN(BB53,AR53))</f>
      </c>
      <c r="BM53" s="4">
        <f>IF(O52&lt;=0,0,MIN(BC53,AS53))</f>
      </c>
      <c r="BN53" s="4">
        <f>IF(P52&lt;=0,0,MIN(BD53,AT53))</f>
      </c>
    </row>
    <row r="54" spans="1:66" x14ac:dyDescent="0.25">
      <c r="A54">
        <v>27</v>
      </c>
      <c r="B54" s="7">
        <f>EDATE($B$17,27)</f>
      </c>
      <c r="C54" s="4">
        <f>SUM(G54:P54)</f>
      </c>
      <c r="D54" s="4">
        <f>SUM(Q54:Z54)</f>
      </c>
      <c r="E54" s="4">
        <f>SUM(AA54:AJ54)+SUM(BE54:BN54)</f>
      </c>
      <c r="G54" s="4">
        <f>MAX(0,AK54-BE54)</f>
      </c>
      <c r="H54" s="4">
        <f>MAX(0,AL54-BF54)</f>
      </c>
      <c r="I54" s="4">
        <f>MAX(0,AM54-BG54)</f>
      </c>
      <c r="J54" s="4">
        <f>MAX(0,AN54-BH54)</f>
      </c>
      <c r="K54" s="4">
        <f>MAX(0,AO54-BI54)</f>
      </c>
      <c r="L54" s="4">
        <f>MAX(0,AP54-BJ54)</f>
      </c>
      <c r="M54" s="4">
        <f>MAX(0,AQ54-BK54)</f>
      </c>
      <c r="N54" s="4">
        <f>MAX(0,AR54-BL54)</f>
      </c>
      <c r="O54" s="4">
        <f>MAX(0,AS54-BM54)</f>
      </c>
      <c r="P54" s="4">
        <f>MAX(0,AT54-BN54)</f>
      </c>
      <c r="Q54" s="4">
        <f>IF(G53&gt;0,G53*($J$5/100/12),0)</f>
      </c>
      <c r="R54" s="4">
        <f>IF(H53&gt;0,H53*($J$6/100/12),0)</f>
      </c>
      <c r="S54" s="4">
        <f>IF(I53&gt;0,I53*($J$7/100/12),0)</f>
      </c>
      <c r="T54" s="4">
        <f>IF(J53&gt;0,J53*($J$8/100/12),0)</f>
      </c>
      <c r="U54" s="4">
        <f>IF(K53&gt;0,K53*($J$9/100/12),0)</f>
      </c>
      <c r="V54" s="4">
        <f>IF(L53&gt;0,L53*($J$10/100/12),0)</f>
      </c>
      <c r="W54" s="4">
        <f>IF(M53&gt;0,M53*($J$11/100/12),0)</f>
      </c>
      <c r="X54" s="4">
        <f>IF(N53&gt;0,N53*($J$12/100/12),0)</f>
      </c>
      <c r="Y54" s="4">
        <f>IF(O53&gt;0,O53*($J$13/100/12),0)</f>
      </c>
      <c r="Z54" s="4">
        <f>IF(P53&gt;0,P53*($J$14/100/12),0)</f>
      </c>
      <c r="AA54" s="4">
        <f>IF(G53&lt;=0,0,MIN($K$5,(G53+Q54)))</f>
      </c>
      <c r="AB54" s="4">
        <f>IF(H53&lt;=0,0,MIN($K$6,(H53+R54)))</f>
      </c>
      <c r="AC54" s="4">
        <f>IF(I53&lt;=0,0,MIN($K$7,(I53+S54)))</f>
      </c>
      <c r="AD54" s="4">
        <f>IF(J53&lt;=0,0,MIN($K$8,(J53+T54)))</f>
      </c>
      <c r="AE54" s="4">
        <f>IF(K53&lt;=0,0,MIN($K$9,(K53+U54)))</f>
      </c>
      <c r="AF54" s="4">
        <f>IF(L53&lt;=0,0,MIN($K$10,(L53+V54)))</f>
      </c>
      <c r="AG54" s="4">
        <f>IF(M53&lt;=0,0,MIN($K$11,(M53+W54)))</f>
      </c>
      <c r="AH54" s="4">
        <f>IF(N53&lt;=0,0,MIN($K$12,(N53+X54)))</f>
      </c>
      <c r="AI54" s="4">
        <f>IF(O53&lt;=0,0,MIN($K$13,(O53+Y54)))</f>
      </c>
      <c r="AJ54" s="4">
        <f>IF(P53&lt;=0,0,MIN($K$14,(P53+Z54)))</f>
      </c>
      <c r="AK54" s="4">
        <f>(G53+Q54)-AA54</f>
      </c>
      <c r="AL54" s="4">
        <f>(H53+R54)-AB54</f>
      </c>
      <c r="AM54" s="4">
        <f>(I53+S54)-AC54</f>
      </c>
      <c r="AN54" s="4">
        <f>(J53+T54)-AD54</f>
      </c>
      <c r="AO54" s="4">
        <f>(K53+U54)-AE54</f>
      </c>
      <c r="AP54" s="4">
        <f>(L53+V54)-AF54</f>
      </c>
      <c r="AQ54" s="4">
        <f>(M53+W54)-AG54</f>
      </c>
      <c r="AR54" s="4">
        <f>(N53+X54)-AH54</f>
      </c>
      <c r="AS54" s="4">
        <f>(O53+Y54)-AI54</f>
      </c>
      <c r="AT54" s="4">
        <f>(P53+Z54)-AJ54</f>
      </c>
      <c r="AU54" s="4">
        <f>$B$16+SUM($K$5:$K$14)-SUM(AA54:AJ54)</f>
      </c>
      <c r="AV54" s="4">
        <f>AU54-BE54</f>
      </c>
      <c r="AW54" s="4">
        <f>AV54-BF54</f>
      </c>
      <c r="AX54" s="4">
        <f>AW54-BG54</f>
      </c>
      <c r="AY54" s="4">
        <f>AX54-BH54</f>
      </c>
      <c r="AZ54" s="4">
        <f>AY54-BI54</f>
      </c>
      <c r="BA54" s="4">
        <f>AZ54-BJ54</f>
      </c>
      <c r="BB54" s="4">
        <f>BA54-BK54</f>
      </c>
      <c r="BC54" s="4">
        <f>BB54-BL54</f>
      </c>
      <c r="BD54" s="4">
        <f>BC54-BM54</f>
      </c>
      <c r="BE54" s="4">
        <f>IF(G53&lt;=0,0,MIN(AU54,AK54))</f>
      </c>
      <c r="BF54" s="4">
        <f>IF(H53&lt;=0,0,MIN(AV54,AL54))</f>
      </c>
      <c r="BG54" s="4">
        <f>IF(I53&lt;=0,0,MIN(AW54,AM54))</f>
      </c>
      <c r="BH54" s="4">
        <f>IF(J53&lt;=0,0,MIN(AX54,AN54))</f>
      </c>
      <c r="BI54" s="4">
        <f>IF(K53&lt;=0,0,MIN(AY54,AO54))</f>
      </c>
      <c r="BJ54" s="4">
        <f>IF(L53&lt;=0,0,MIN(AZ54,AP54))</f>
      </c>
      <c r="BK54" s="4">
        <f>IF(M53&lt;=0,0,MIN(BA54,AQ54))</f>
      </c>
      <c r="BL54" s="4">
        <f>IF(N53&lt;=0,0,MIN(BB54,AR54))</f>
      </c>
      <c r="BM54" s="4">
        <f>IF(O53&lt;=0,0,MIN(BC54,AS54))</f>
      </c>
      <c r="BN54" s="4">
        <f>IF(P53&lt;=0,0,MIN(BD54,AT54))</f>
      </c>
    </row>
    <row r="55" spans="1:66" x14ac:dyDescent="0.25">
      <c r="A55">
        <v>28</v>
      </c>
      <c r="B55" s="7">
        <f>EDATE($B$17,28)</f>
      </c>
      <c r="C55" s="4">
        <f>SUM(G55:P55)</f>
      </c>
      <c r="D55" s="4">
        <f>SUM(Q55:Z55)</f>
      </c>
      <c r="E55" s="4">
        <f>SUM(AA55:AJ55)+SUM(BE55:BN55)</f>
      </c>
      <c r="G55" s="4">
        <f>MAX(0,AK55-BE55)</f>
      </c>
      <c r="H55" s="4">
        <f>MAX(0,AL55-BF55)</f>
      </c>
      <c r="I55" s="4">
        <f>MAX(0,AM55-BG55)</f>
      </c>
      <c r="J55" s="4">
        <f>MAX(0,AN55-BH55)</f>
      </c>
      <c r="K55" s="4">
        <f>MAX(0,AO55-BI55)</f>
      </c>
      <c r="L55" s="4">
        <f>MAX(0,AP55-BJ55)</f>
      </c>
      <c r="M55" s="4">
        <f>MAX(0,AQ55-BK55)</f>
      </c>
      <c r="N55" s="4">
        <f>MAX(0,AR55-BL55)</f>
      </c>
      <c r="O55" s="4">
        <f>MAX(0,AS55-BM55)</f>
      </c>
      <c r="P55" s="4">
        <f>MAX(0,AT55-BN55)</f>
      </c>
      <c r="Q55" s="4">
        <f>IF(G54&gt;0,G54*($J$5/100/12),0)</f>
      </c>
      <c r="R55" s="4">
        <f>IF(H54&gt;0,H54*($J$6/100/12),0)</f>
      </c>
      <c r="S55" s="4">
        <f>IF(I54&gt;0,I54*($J$7/100/12),0)</f>
      </c>
      <c r="T55" s="4">
        <f>IF(J54&gt;0,J54*($J$8/100/12),0)</f>
      </c>
      <c r="U55" s="4">
        <f>IF(K54&gt;0,K54*($J$9/100/12),0)</f>
      </c>
      <c r="V55" s="4">
        <f>IF(L54&gt;0,L54*($J$10/100/12),0)</f>
      </c>
      <c r="W55" s="4">
        <f>IF(M54&gt;0,M54*($J$11/100/12),0)</f>
      </c>
      <c r="X55" s="4">
        <f>IF(N54&gt;0,N54*($J$12/100/12),0)</f>
      </c>
      <c r="Y55" s="4">
        <f>IF(O54&gt;0,O54*($J$13/100/12),0)</f>
      </c>
      <c r="Z55" s="4">
        <f>IF(P54&gt;0,P54*($J$14/100/12),0)</f>
      </c>
      <c r="AA55" s="4">
        <f>IF(G54&lt;=0,0,MIN($K$5,(G54+Q55)))</f>
      </c>
      <c r="AB55" s="4">
        <f>IF(H54&lt;=0,0,MIN($K$6,(H54+R55)))</f>
      </c>
      <c r="AC55" s="4">
        <f>IF(I54&lt;=0,0,MIN($K$7,(I54+S55)))</f>
      </c>
      <c r="AD55" s="4">
        <f>IF(J54&lt;=0,0,MIN($K$8,(J54+T55)))</f>
      </c>
      <c r="AE55" s="4">
        <f>IF(K54&lt;=0,0,MIN($K$9,(K54+U55)))</f>
      </c>
      <c r="AF55" s="4">
        <f>IF(L54&lt;=0,0,MIN($K$10,(L54+V55)))</f>
      </c>
      <c r="AG55" s="4">
        <f>IF(M54&lt;=0,0,MIN($K$11,(M54+W55)))</f>
      </c>
      <c r="AH55" s="4">
        <f>IF(N54&lt;=0,0,MIN($K$12,(N54+X55)))</f>
      </c>
      <c r="AI55" s="4">
        <f>IF(O54&lt;=0,0,MIN($K$13,(O54+Y55)))</f>
      </c>
      <c r="AJ55" s="4">
        <f>IF(P54&lt;=0,0,MIN($K$14,(P54+Z55)))</f>
      </c>
      <c r="AK55" s="4">
        <f>(G54+Q55)-AA55</f>
      </c>
      <c r="AL55" s="4">
        <f>(H54+R55)-AB55</f>
      </c>
      <c r="AM55" s="4">
        <f>(I54+S55)-AC55</f>
      </c>
      <c r="AN55" s="4">
        <f>(J54+T55)-AD55</f>
      </c>
      <c r="AO55" s="4">
        <f>(K54+U55)-AE55</f>
      </c>
      <c r="AP55" s="4">
        <f>(L54+V55)-AF55</f>
      </c>
      <c r="AQ55" s="4">
        <f>(M54+W55)-AG55</f>
      </c>
      <c r="AR55" s="4">
        <f>(N54+X55)-AH55</f>
      </c>
      <c r="AS55" s="4">
        <f>(O54+Y55)-AI55</f>
      </c>
      <c r="AT55" s="4">
        <f>(P54+Z55)-AJ55</f>
      </c>
      <c r="AU55" s="4">
        <f>$B$16+SUM($K$5:$K$14)-SUM(AA55:AJ55)</f>
      </c>
      <c r="AV55" s="4">
        <f>AU55-BE55</f>
      </c>
      <c r="AW55" s="4">
        <f>AV55-BF55</f>
      </c>
      <c r="AX55" s="4">
        <f>AW55-BG55</f>
      </c>
      <c r="AY55" s="4">
        <f>AX55-BH55</f>
      </c>
      <c r="AZ55" s="4">
        <f>AY55-BI55</f>
      </c>
      <c r="BA55" s="4">
        <f>AZ55-BJ55</f>
      </c>
      <c r="BB55" s="4">
        <f>BA55-BK55</f>
      </c>
      <c r="BC55" s="4">
        <f>BB55-BL55</f>
      </c>
      <c r="BD55" s="4">
        <f>BC55-BM55</f>
      </c>
      <c r="BE55" s="4">
        <f>IF(G54&lt;=0,0,MIN(AU55,AK55))</f>
      </c>
      <c r="BF55" s="4">
        <f>IF(H54&lt;=0,0,MIN(AV55,AL55))</f>
      </c>
      <c r="BG55" s="4">
        <f>IF(I54&lt;=0,0,MIN(AW55,AM55))</f>
      </c>
      <c r="BH55" s="4">
        <f>IF(J54&lt;=0,0,MIN(AX55,AN55))</f>
      </c>
      <c r="BI55" s="4">
        <f>IF(K54&lt;=0,0,MIN(AY55,AO55))</f>
      </c>
      <c r="BJ55" s="4">
        <f>IF(L54&lt;=0,0,MIN(AZ55,AP55))</f>
      </c>
      <c r="BK55" s="4">
        <f>IF(M54&lt;=0,0,MIN(BA55,AQ55))</f>
      </c>
      <c r="BL55" s="4">
        <f>IF(N54&lt;=0,0,MIN(BB55,AR55))</f>
      </c>
      <c r="BM55" s="4">
        <f>IF(O54&lt;=0,0,MIN(BC55,AS55))</f>
      </c>
      <c r="BN55" s="4">
        <f>IF(P54&lt;=0,0,MIN(BD55,AT55))</f>
      </c>
    </row>
    <row r="56" spans="1:66" x14ac:dyDescent="0.25">
      <c r="A56">
        <v>29</v>
      </c>
      <c r="B56" s="7">
        <f>EDATE($B$17,29)</f>
      </c>
      <c r="C56" s="4">
        <f>SUM(G56:P56)</f>
      </c>
      <c r="D56" s="4">
        <f>SUM(Q56:Z56)</f>
      </c>
      <c r="E56" s="4">
        <f>SUM(AA56:AJ56)+SUM(BE56:BN56)</f>
      </c>
      <c r="G56" s="4">
        <f>MAX(0,AK56-BE56)</f>
      </c>
      <c r="H56" s="4">
        <f>MAX(0,AL56-BF56)</f>
      </c>
      <c r="I56" s="4">
        <f>MAX(0,AM56-BG56)</f>
      </c>
      <c r="J56" s="4">
        <f>MAX(0,AN56-BH56)</f>
      </c>
      <c r="K56" s="4">
        <f>MAX(0,AO56-BI56)</f>
      </c>
      <c r="L56" s="4">
        <f>MAX(0,AP56-BJ56)</f>
      </c>
      <c r="M56" s="4">
        <f>MAX(0,AQ56-BK56)</f>
      </c>
      <c r="N56" s="4">
        <f>MAX(0,AR56-BL56)</f>
      </c>
      <c r="O56" s="4">
        <f>MAX(0,AS56-BM56)</f>
      </c>
      <c r="P56" s="4">
        <f>MAX(0,AT56-BN56)</f>
      </c>
      <c r="Q56" s="4">
        <f>IF(G55&gt;0,G55*($J$5/100/12),0)</f>
      </c>
      <c r="R56" s="4">
        <f>IF(H55&gt;0,H55*($J$6/100/12),0)</f>
      </c>
      <c r="S56" s="4">
        <f>IF(I55&gt;0,I55*($J$7/100/12),0)</f>
      </c>
      <c r="T56" s="4">
        <f>IF(J55&gt;0,J55*($J$8/100/12),0)</f>
      </c>
      <c r="U56" s="4">
        <f>IF(K55&gt;0,K55*($J$9/100/12),0)</f>
      </c>
      <c r="V56" s="4">
        <f>IF(L55&gt;0,L55*($J$10/100/12),0)</f>
      </c>
      <c r="W56" s="4">
        <f>IF(M55&gt;0,M55*($J$11/100/12),0)</f>
      </c>
      <c r="X56" s="4">
        <f>IF(N55&gt;0,N55*($J$12/100/12),0)</f>
      </c>
      <c r="Y56" s="4">
        <f>IF(O55&gt;0,O55*($J$13/100/12),0)</f>
      </c>
      <c r="Z56" s="4">
        <f>IF(P55&gt;0,P55*($J$14/100/12),0)</f>
      </c>
      <c r="AA56" s="4">
        <f>IF(G55&lt;=0,0,MIN($K$5,(G55+Q56)))</f>
      </c>
      <c r="AB56" s="4">
        <f>IF(H55&lt;=0,0,MIN($K$6,(H55+R56)))</f>
      </c>
      <c r="AC56" s="4">
        <f>IF(I55&lt;=0,0,MIN($K$7,(I55+S56)))</f>
      </c>
      <c r="AD56" s="4">
        <f>IF(J55&lt;=0,0,MIN($K$8,(J55+T56)))</f>
      </c>
      <c r="AE56" s="4">
        <f>IF(K55&lt;=0,0,MIN($K$9,(K55+U56)))</f>
      </c>
      <c r="AF56" s="4">
        <f>IF(L55&lt;=0,0,MIN($K$10,(L55+V56)))</f>
      </c>
      <c r="AG56" s="4">
        <f>IF(M55&lt;=0,0,MIN($K$11,(M55+W56)))</f>
      </c>
      <c r="AH56" s="4">
        <f>IF(N55&lt;=0,0,MIN($K$12,(N55+X56)))</f>
      </c>
      <c r="AI56" s="4">
        <f>IF(O55&lt;=0,0,MIN($K$13,(O55+Y56)))</f>
      </c>
      <c r="AJ56" s="4">
        <f>IF(P55&lt;=0,0,MIN($K$14,(P55+Z56)))</f>
      </c>
      <c r="AK56" s="4">
        <f>(G55+Q56)-AA56</f>
      </c>
      <c r="AL56" s="4">
        <f>(H55+R56)-AB56</f>
      </c>
      <c r="AM56" s="4">
        <f>(I55+S56)-AC56</f>
      </c>
      <c r="AN56" s="4">
        <f>(J55+T56)-AD56</f>
      </c>
      <c r="AO56" s="4">
        <f>(K55+U56)-AE56</f>
      </c>
      <c r="AP56" s="4">
        <f>(L55+V56)-AF56</f>
      </c>
      <c r="AQ56" s="4">
        <f>(M55+W56)-AG56</f>
      </c>
      <c r="AR56" s="4">
        <f>(N55+X56)-AH56</f>
      </c>
      <c r="AS56" s="4">
        <f>(O55+Y56)-AI56</f>
      </c>
      <c r="AT56" s="4">
        <f>(P55+Z56)-AJ56</f>
      </c>
      <c r="AU56" s="4">
        <f>$B$16+SUM($K$5:$K$14)-SUM(AA56:AJ56)</f>
      </c>
      <c r="AV56" s="4">
        <f>AU56-BE56</f>
      </c>
      <c r="AW56" s="4">
        <f>AV56-BF56</f>
      </c>
      <c r="AX56" s="4">
        <f>AW56-BG56</f>
      </c>
      <c r="AY56" s="4">
        <f>AX56-BH56</f>
      </c>
      <c r="AZ56" s="4">
        <f>AY56-BI56</f>
      </c>
      <c r="BA56" s="4">
        <f>AZ56-BJ56</f>
      </c>
      <c r="BB56" s="4">
        <f>BA56-BK56</f>
      </c>
      <c r="BC56" s="4">
        <f>BB56-BL56</f>
      </c>
      <c r="BD56" s="4">
        <f>BC56-BM56</f>
      </c>
      <c r="BE56" s="4">
        <f>IF(G55&lt;=0,0,MIN(AU56,AK56))</f>
      </c>
      <c r="BF56" s="4">
        <f>IF(H55&lt;=0,0,MIN(AV56,AL56))</f>
      </c>
      <c r="BG56" s="4">
        <f>IF(I55&lt;=0,0,MIN(AW56,AM56))</f>
      </c>
      <c r="BH56" s="4">
        <f>IF(J55&lt;=0,0,MIN(AX56,AN56))</f>
      </c>
      <c r="BI56" s="4">
        <f>IF(K55&lt;=0,0,MIN(AY56,AO56))</f>
      </c>
      <c r="BJ56" s="4">
        <f>IF(L55&lt;=0,0,MIN(AZ56,AP56))</f>
      </c>
      <c r="BK56" s="4">
        <f>IF(M55&lt;=0,0,MIN(BA56,AQ56))</f>
      </c>
      <c r="BL56" s="4">
        <f>IF(N55&lt;=0,0,MIN(BB56,AR56))</f>
      </c>
      <c r="BM56" s="4">
        <f>IF(O55&lt;=0,0,MIN(BC56,AS56))</f>
      </c>
      <c r="BN56" s="4">
        <f>IF(P55&lt;=0,0,MIN(BD56,AT56))</f>
      </c>
    </row>
    <row r="57" spans="1:66" x14ac:dyDescent="0.25">
      <c r="A57">
        <v>30</v>
      </c>
      <c r="B57" s="7">
        <f>EDATE($B$17,30)</f>
      </c>
      <c r="C57" s="4">
        <f>SUM(G57:P57)</f>
      </c>
      <c r="D57" s="4">
        <f>SUM(Q57:Z57)</f>
      </c>
      <c r="E57" s="4">
        <f>SUM(AA57:AJ57)+SUM(BE57:BN57)</f>
      </c>
      <c r="G57" s="4">
        <f>MAX(0,AK57-BE57)</f>
      </c>
      <c r="H57" s="4">
        <f>MAX(0,AL57-BF57)</f>
      </c>
      <c r="I57" s="4">
        <f>MAX(0,AM57-BG57)</f>
      </c>
      <c r="J57" s="4">
        <f>MAX(0,AN57-BH57)</f>
      </c>
      <c r="K57" s="4">
        <f>MAX(0,AO57-BI57)</f>
      </c>
      <c r="L57" s="4">
        <f>MAX(0,AP57-BJ57)</f>
      </c>
      <c r="M57" s="4">
        <f>MAX(0,AQ57-BK57)</f>
      </c>
      <c r="N57" s="4">
        <f>MAX(0,AR57-BL57)</f>
      </c>
      <c r="O57" s="4">
        <f>MAX(0,AS57-BM57)</f>
      </c>
      <c r="P57" s="4">
        <f>MAX(0,AT57-BN57)</f>
      </c>
      <c r="Q57" s="4">
        <f>IF(G56&gt;0,G56*($J$5/100/12),0)</f>
      </c>
      <c r="R57" s="4">
        <f>IF(H56&gt;0,H56*($J$6/100/12),0)</f>
      </c>
      <c r="S57" s="4">
        <f>IF(I56&gt;0,I56*($J$7/100/12),0)</f>
      </c>
      <c r="T57" s="4">
        <f>IF(J56&gt;0,J56*($J$8/100/12),0)</f>
      </c>
      <c r="U57" s="4">
        <f>IF(K56&gt;0,K56*($J$9/100/12),0)</f>
      </c>
      <c r="V57" s="4">
        <f>IF(L56&gt;0,L56*($J$10/100/12),0)</f>
      </c>
      <c r="W57" s="4">
        <f>IF(M56&gt;0,M56*($J$11/100/12),0)</f>
      </c>
      <c r="X57" s="4">
        <f>IF(N56&gt;0,N56*($J$12/100/12),0)</f>
      </c>
      <c r="Y57" s="4">
        <f>IF(O56&gt;0,O56*($J$13/100/12),0)</f>
      </c>
      <c r="Z57" s="4">
        <f>IF(P56&gt;0,P56*($J$14/100/12),0)</f>
      </c>
      <c r="AA57" s="4">
        <f>IF(G56&lt;=0,0,MIN($K$5,(G56+Q57)))</f>
      </c>
      <c r="AB57" s="4">
        <f>IF(H56&lt;=0,0,MIN($K$6,(H56+R57)))</f>
      </c>
      <c r="AC57" s="4">
        <f>IF(I56&lt;=0,0,MIN($K$7,(I56+S57)))</f>
      </c>
      <c r="AD57" s="4">
        <f>IF(J56&lt;=0,0,MIN($K$8,(J56+T57)))</f>
      </c>
      <c r="AE57" s="4">
        <f>IF(K56&lt;=0,0,MIN($K$9,(K56+U57)))</f>
      </c>
      <c r="AF57" s="4">
        <f>IF(L56&lt;=0,0,MIN($K$10,(L56+V57)))</f>
      </c>
      <c r="AG57" s="4">
        <f>IF(M56&lt;=0,0,MIN($K$11,(M56+W57)))</f>
      </c>
      <c r="AH57" s="4">
        <f>IF(N56&lt;=0,0,MIN($K$12,(N56+X57)))</f>
      </c>
      <c r="AI57" s="4">
        <f>IF(O56&lt;=0,0,MIN($K$13,(O56+Y57)))</f>
      </c>
      <c r="AJ57" s="4">
        <f>IF(P56&lt;=0,0,MIN($K$14,(P56+Z57)))</f>
      </c>
      <c r="AK57" s="4">
        <f>(G56+Q57)-AA57</f>
      </c>
      <c r="AL57" s="4">
        <f>(H56+R57)-AB57</f>
      </c>
      <c r="AM57" s="4">
        <f>(I56+S57)-AC57</f>
      </c>
      <c r="AN57" s="4">
        <f>(J56+T57)-AD57</f>
      </c>
      <c r="AO57" s="4">
        <f>(K56+U57)-AE57</f>
      </c>
      <c r="AP57" s="4">
        <f>(L56+V57)-AF57</f>
      </c>
      <c r="AQ57" s="4">
        <f>(M56+W57)-AG57</f>
      </c>
      <c r="AR57" s="4">
        <f>(N56+X57)-AH57</f>
      </c>
      <c r="AS57" s="4">
        <f>(O56+Y57)-AI57</f>
      </c>
      <c r="AT57" s="4">
        <f>(P56+Z57)-AJ57</f>
      </c>
      <c r="AU57" s="4">
        <f>$B$16+SUM($K$5:$K$14)-SUM(AA57:AJ57)</f>
      </c>
      <c r="AV57" s="4">
        <f>AU57-BE57</f>
      </c>
      <c r="AW57" s="4">
        <f>AV57-BF57</f>
      </c>
      <c r="AX57" s="4">
        <f>AW57-BG57</f>
      </c>
      <c r="AY57" s="4">
        <f>AX57-BH57</f>
      </c>
      <c r="AZ57" s="4">
        <f>AY57-BI57</f>
      </c>
      <c r="BA57" s="4">
        <f>AZ57-BJ57</f>
      </c>
      <c r="BB57" s="4">
        <f>BA57-BK57</f>
      </c>
      <c r="BC57" s="4">
        <f>BB57-BL57</f>
      </c>
      <c r="BD57" s="4">
        <f>BC57-BM57</f>
      </c>
      <c r="BE57" s="4">
        <f>IF(G56&lt;=0,0,MIN(AU57,AK57))</f>
      </c>
      <c r="BF57" s="4">
        <f>IF(H56&lt;=0,0,MIN(AV57,AL57))</f>
      </c>
      <c r="BG57" s="4">
        <f>IF(I56&lt;=0,0,MIN(AW57,AM57))</f>
      </c>
      <c r="BH57" s="4">
        <f>IF(J56&lt;=0,0,MIN(AX57,AN57))</f>
      </c>
      <c r="BI57" s="4">
        <f>IF(K56&lt;=0,0,MIN(AY57,AO57))</f>
      </c>
      <c r="BJ57" s="4">
        <f>IF(L56&lt;=0,0,MIN(AZ57,AP57))</f>
      </c>
      <c r="BK57" s="4">
        <f>IF(M56&lt;=0,0,MIN(BA57,AQ57))</f>
      </c>
      <c r="BL57" s="4">
        <f>IF(N56&lt;=0,0,MIN(BB57,AR57))</f>
      </c>
      <c r="BM57" s="4">
        <f>IF(O56&lt;=0,0,MIN(BC57,AS57))</f>
      </c>
      <c r="BN57" s="4">
        <f>IF(P56&lt;=0,0,MIN(BD57,AT57))</f>
      </c>
    </row>
    <row r="58" spans="1:66" x14ac:dyDescent="0.25">
      <c r="A58">
        <v>31</v>
      </c>
      <c r="B58" s="7">
        <f>EDATE($B$17,31)</f>
      </c>
      <c r="C58" s="4">
        <f>SUM(G58:P58)</f>
      </c>
      <c r="D58" s="4">
        <f>SUM(Q58:Z58)</f>
      </c>
      <c r="E58" s="4">
        <f>SUM(AA58:AJ58)+SUM(BE58:BN58)</f>
      </c>
      <c r="G58" s="4">
        <f>MAX(0,AK58-BE58)</f>
      </c>
      <c r="H58" s="4">
        <f>MAX(0,AL58-BF58)</f>
      </c>
      <c r="I58" s="4">
        <f>MAX(0,AM58-BG58)</f>
      </c>
      <c r="J58" s="4">
        <f>MAX(0,AN58-BH58)</f>
      </c>
      <c r="K58" s="4">
        <f>MAX(0,AO58-BI58)</f>
      </c>
      <c r="L58" s="4">
        <f>MAX(0,AP58-BJ58)</f>
      </c>
      <c r="M58" s="4">
        <f>MAX(0,AQ58-BK58)</f>
      </c>
      <c r="N58" s="4">
        <f>MAX(0,AR58-BL58)</f>
      </c>
      <c r="O58" s="4">
        <f>MAX(0,AS58-BM58)</f>
      </c>
      <c r="P58" s="4">
        <f>MAX(0,AT58-BN58)</f>
      </c>
      <c r="Q58" s="4">
        <f>IF(G57&gt;0,G57*($J$5/100/12),0)</f>
      </c>
      <c r="R58" s="4">
        <f>IF(H57&gt;0,H57*($J$6/100/12),0)</f>
      </c>
      <c r="S58" s="4">
        <f>IF(I57&gt;0,I57*($J$7/100/12),0)</f>
      </c>
      <c r="T58" s="4">
        <f>IF(J57&gt;0,J57*($J$8/100/12),0)</f>
      </c>
      <c r="U58" s="4">
        <f>IF(K57&gt;0,K57*($J$9/100/12),0)</f>
      </c>
      <c r="V58" s="4">
        <f>IF(L57&gt;0,L57*($J$10/100/12),0)</f>
      </c>
      <c r="W58" s="4">
        <f>IF(M57&gt;0,M57*($J$11/100/12),0)</f>
      </c>
      <c r="X58" s="4">
        <f>IF(N57&gt;0,N57*($J$12/100/12),0)</f>
      </c>
      <c r="Y58" s="4">
        <f>IF(O57&gt;0,O57*($J$13/100/12),0)</f>
      </c>
      <c r="Z58" s="4">
        <f>IF(P57&gt;0,P57*($J$14/100/12),0)</f>
      </c>
      <c r="AA58" s="4">
        <f>IF(G57&lt;=0,0,MIN($K$5,(G57+Q58)))</f>
      </c>
      <c r="AB58" s="4">
        <f>IF(H57&lt;=0,0,MIN($K$6,(H57+R58)))</f>
      </c>
      <c r="AC58" s="4">
        <f>IF(I57&lt;=0,0,MIN($K$7,(I57+S58)))</f>
      </c>
      <c r="AD58" s="4">
        <f>IF(J57&lt;=0,0,MIN($K$8,(J57+T58)))</f>
      </c>
      <c r="AE58" s="4">
        <f>IF(K57&lt;=0,0,MIN($K$9,(K57+U58)))</f>
      </c>
      <c r="AF58" s="4">
        <f>IF(L57&lt;=0,0,MIN($K$10,(L57+V58)))</f>
      </c>
      <c r="AG58" s="4">
        <f>IF(M57&lt;=0,0,MIN($K$11,(M57+W58)))</f>
      </c>
      <c r="AH58" s="4">
        <f>IF(N57&lt;=0,0,MIN($K$12,(N57+X58)))</f>
      </c>
      <c r="AI58" s="4">
        <f>IF(O57&lt;=0,0,MIN($K$13,(O57+Y58)))</f>
      </c>
      <c r="AJ58" s="4">
        <f>IF(P57&lt;=0,0,MIN($K$14,(P57+Z58)))</f>
      </c>
      <c r="AK58" s="4">
        <f>(G57+Q58)-AA58</f>
      </c>
      <c r="AL58" s="4">
        <f>(H57+R58)-AB58</f>
      </c>
      <c r="AM58" s="4">
        <f>(I57+S58)-AC58</f>
      </c>
      <c r="AN58" s="4">
        <f>(J57+T58)-AD58</f>
      </c>
      <c r="AO58" s="4">
        <f>(K57+U58)-AE58</f>
      </c>
      <c r="AP58" s="4">
        <f>(L57+V58)-AF58</f>
      </c>
      <c r="AQ58" s="4">
        <f>(M57+W58)-AG58</f>
      </c>
      <c r="AR58" s="4">
        <f>(N57+X58)-AH58</f>
      </c>
      <c r="AS58" s="4">
        <f>(O57+Y58)-AI58</f>
      </c>
      <c r="AT58" s="4">
        <f>(P57+Z58)-AJ58</f>
      </c>
      <c r="AU58" s="4">
        <f>$B$16+SUM($K$5:$K$14)-SUM(AA58:AJ58)</f>
      </c>
      <c r="AV58" s="4">
        <f>AU58-BE58</f>
      </c>
      <c r="AW58" s="4">
        <f>AV58-BF58</f>
      </c>
      <c r="AX58" s="4">
        <f>AW58-BG58</f>
      </c>
      <c r="AY58" s="4">
        <f>AX58-BH58</f>
      </c>
      <c r="AZ58" s="4">
        <f>AY58-BI58</f>
      </c>
      <c r="BA58" s="4">
        <f>AZ58-BJ58</f>
      </c>
      <c r="BB58" s="4">
        <f>BA58-BK58</f>
      </c>
      <c r="BC58" s="4">
        <f>BB58-BL58</f>
      </c>
      <c r="BD58" s="4">
        <f>BC58-BM58</f>
      </c>
      <c r="BE58" s="4">
        <f>IF(G57&lt;=0,0,MIN(AU58,AK58))</f>
      </c>
      <c r="BF58" s="4">
        <f>IF(H57&lt;=0,0,MIN(AV58,AL58))</f>
      </c>
      <c r="BG58" s="4">
        <f>IF(I57&lt;=0,0,MIN(AW58,AM58))</f>
      </c>
      <c r="BH58" s="4">
        <f>IF(J57&lt;=0,0,MIN(AX58,AN58))</f>
      </c>
      <c r="BI58" s="4">
        <f>IF(K57&lt;=0,0,MIN(AY58,AO58))</f>
      </c>
      <c r="BJ58" s="4">
        <f>IF(L57&lt;=0,0,MIN(AZ58,AP58))</f>
      </c>
      <c r="BK58" s="4">
        <f>IF(M57&lt;=0,0,MIN(BA58,AQ58))</f>
      </c>
      <c r="BL58" s="4">
        <f>IF(N57&lt;=0,0,MIN(BB58,AR58))</f>
      </c>
      <c r="BM58" s="4">
        <f>IF(O57&lt;=0,0,MIN(BC58,AS58))</f>
      </c>
      <c r="BN58" s="4">
        <f>IF(P57&lt;=0,0,MIN(BD58,AT58))</f>
      </c>
    </row>
    <row r="59" spans="1:66" x14ac:dyDescent="0.25">
      <c r="A59">
        <v>32</v>
      </c>
      <c r="B59" s="7">
        <f>EDATE($B$17,32)</f>
      </c>
      <c r="C59" s="4">
        <f>SUM(G59:P59)</f>
      </c>
      <c r="D59" s="4">
        <f>SUM(Q59:Z59)</f>
      </c>
      <c r="E59" s="4">
        <f>SUM(AA59:AJ59)+SUM(BE59:BN59)</f>
      </c>
      <c r="G59" s="4">
        <f>MAX(0,AK59-BE59)</f>
      </c>
      <c r="H59" s="4">
        <f>MAX(0,AL59-BF59)</f>
      </c>
      <c r="I59" s="4">
        <f>MAX(0,AM59-BG59)</f>
      </c>
      <c r="J59" s="4">
        <f>MAX(0,AN59-BH59)</f>
      </c>
      <c r="K59" s="4">
        <f>MAX(0,AO59-BI59)</f>
      </c>
      <c r="L59" s="4">
        <f>MAX(0,AP59-BJ59)</f>
      </c>
      <c r="M59" s="4">
        <f>MAX(0,AQ59-BK59)</f>
      </c>
      <c r="N59" s="4">
        <f>MAX(0,AR59-BL59)</f>
      </c>
      <c r="O59" s="4">
        <f>MAX(0,AS59-BM59)</f>
      </c>
      <c r="P59" s="4">
        <f>MAX(0,AT59-BN59)</f>
      </c>
      <c r="Q59" s="4">
        <f>IF(G58&gt;0,G58*($J$5/100/12),0)</f>
      </c>
      <c r="R59" s="4">
        <f>IF(H58&gt;0,H58*($J$6/100/12),0)</f>
      </c>
      <c r="S59" s="4">
        <f>IF(I58&gt;0,I58*($J$7/100/12),0)</f>
      </c>
      <c r="T59" s="4">
        <f>IF(J58&gt;0,J58*($J$8/100/12),0)</f>
      </c>
      <c r="U59" s="4">
        <f>IF(K58&gt;0,K58*($J$9/100/12),0)</f>
      </c>
      <c r="V59" s="4">
        <f>IF(L58&gt;0,L58*($J$10/100/12),0)</f>
      </c>
      <c r="W59" s="4">
        <f>IF(M58&gt;0,M58*($J$11/100/12),0)</f>
      </c>
      <c r="X59" s="4">
        <f>IF(N58&gt;0,N58*($J$12/100/12),0)</f>
      </c>
      <c r="Y59" s="4">
        <f>IF(O58&gt;0,O58*($J$13/100/12),0)</f>
      </c>
      <c r="Z59" s="4">
        <f>IF(P58&gt;0,P58*($J$14/100/12),0)</f>
      </c>
      <c r="AA59" s="4">
        <f>IF(G58&lt;=0,0,MIN($K$5,(G58+Q59)))</f>
      </c>
      <c r="AB59" s="4">
        <f>IF(H58&lt;=0,0,MIN($K$6,(H58+R59)))</f>
      </c>
      <c r="AC59" s="4">
        <f>IF(I58&lt;=0,0,MIN($K$7,(I58+S59)))</f>
      </c>
      <c r="AD59" s="4">
        <f>IF(J58&lt;=0,0,MIN($K$8,(J58+T59)))</f>
      </c>
      <c r="AE59" s="4">
        <f>IF(K58&lt;=0,0,MIN($K$9,(K58+U59)))</f>
      </c>
      <c r="AF59" s="4">
        <f>IF(L58&lt;=0,0,MIN($K$10,(L58+V59)))</f>
      </c>
      <c r="AG59" s="4">
        <f>IF(M58&lt;=0,0,MIN($K$11,(M58+W59)))</f>
      </c>
      <c r="AH59" s="4">
        <f>IF(N58&lt;=0,0,MIN($K$12,(N58+X59)))</f>
      </c>
      <c r="AI59" s="4">
        <f>IF(O58&lt;=0,0,MIN($K$13,(O58+Y59)))</f>
      </c>
      <c r="AJ59" s="4">
        <f>IF(P58&lt;=0,0,MIN($K$14,(P58+Z59)))</f>
      </c>
      <c r="AK59" s="4">
        <f>(G58+Q59)-AA59</f>
      </c>
      <c r="AL59" s="4">
        <f>(H58+R59)-AB59</f>
      </c>
      <c r="AM59" s="4">
        <f>(I58+S59)-AC59</f>
      </c>
      <c r="AN59" s="4">
        <f>(J58+T59)-AD59</f>
      </c>
      <c r="AO59" s="4">
        <f>(K58+U59)-AE59</f>
      </c>
      <c r="AP59" s="4">
        <f>(L58+V59)-AF59</f>
      </c>
      <c r="AQ59" s="4">
        <f>(M58+W59)-AG59</f>
      </c>
      <c r="AR59" s="4">
        <f>(N58+X59)-AH59</f>
      </c>
      <c r="AS59" s="4">
        <f>(O58+Y59)-AI59</f>
      </c>
      <c r="AT59" s="4">
        <f>(P58+Z59)-AJ59</f>
      </c>
      <c r="AU59" s="4">
        <f>$B$16+SUM($K$5:$K$14)-SUM(AA59:AJ59)</f>
      </c>
      <c r="AV59" s="4">
        <f>AU59-BE59</f>
      </c>
      <c r="AW59" s="4">
        <f>AV59-BF59</f>
      </c>
      <c r="AX59" s="4">
        <f>AW59-BG59</f>
      </c>
      <c r="AY59" s="4">
        <f>AX59-BH59</f>
      </c>
      <c r="AZ59" s="4">
        <f>AY59-BI59</f>
      </c>
      <c r="BA59" s="4">
        <f>AZ59-BJ59</f>
      </c>
      <c r="BB59" s="4">
        <f>BA59-BK59</f>
      </c>
      <c r="BC59" s="4">
        <f>BB59-BL59</f>
      </c>
      <c r="BD59" s="4">
        <f>BC59-BM59</f>
      </c>
      <c r="BE59" s="4">
        <f>IF(G58&lt;=0,0,MIN(AU59,AK59))</f>
      </c>
      <c r="BF59" s="4">
        <f>IF(H58&lt;=0,0,MIN(AV59,AL59))</f>
      </c>
      <c r="BG59" s="4">
        <f>IF(I58&lt;=0,0,MIN(AW59,AM59))</f>
      </c>
      <c r="BH59" s="4">
        <f>IF(J58&lt;=0,0,MIN(AX59,AN59))</f>
      </c>
      <c r="BI59" s="4">
        <f>IF(K58&lt;=0,0,MIN(AY59,AO59))</f>
      </c>
      <c r="BJ59" s="4">
        <f>IF(L58&lt;=0,0,MIN(AZ59,AP59))</f>
      </c>
      <c r="BK59" s="4">
        <f>IF(M58&lt;=0,0,MIN(BA59,AQ59))</f>
      </c>
      <c r="BL59" s="4">
        <f>IF(N58&lt;=0,0,MIN(BB59,AR59))</f>
      </c>
      <c r="BM59" s="4">
        <f>IF(O58&lt;=0,0,MIN(BC59,AS59))</f>
      </c>
      <c r="BN59" s="4">
        <f>IF(P58&lt;=0,0,MIN(BD59,AT59))</f>
      </c>
    </row>
    <row r="60" spans="1:66" x14ac:dyDescent="0.25">
      <c r="A60">
        <v>33</v>
      </c>
      <c r="B60" s="7">
        <f>EDATE($B$17,33)</f>
      </c>
      <c r="C60" s="4">
        <f>SUM(G60:P60)</f>
      </c>
      <c r="D60" s="4">
        <f>SUM(Q60:Z60)</f>
      </c>
      <c r="E60" s="4">
        <f>SUM(AA60:AJ60)+SUM(BE60:BN60)</f>
      </c>
      <c r="G60" s="4">
        <f>MAX(0,AK60-BE60)</f>
      </c>
      <c r="H60" s="4">
        <f>MAX(0,AL60-BF60)</f>
      </c>
      <c r="I60" s="4">
        <f>MAX(0,AM60-BG60)</f>
      </c>
      <c r="J60" s="4">
        <f>MAX(0,AN60-BH60)</f>
      </c>
      <c r="K60" s="4">
        <f>MAX(0,AO60-BI60)</f>
      </c>
      <c r="L60" s="4">
        <f>MAX(0,AP60-BJ60)</f>
      </c>
      <c r="M60" s="4">
        <f>MAX(0,AQ60-BK60)</f>
      </c>
      <c r="N60" s="4">
        <f>MAX(0,AR60-BL60)</f>
      </c>
      <c r="O60" s="4">
        <f>MAX(0,AS60-BM60)</f>
      </c>
      <c r="P60" s="4">
        <f>MAX(0,AT60-BN60)</f>
      </c>
      <c r="Q60" s="4">
        <f>IF(G59&gt;0,G59*($J$5/100/12),0)</f>
      </c>
      <c r="R60" s="4">
        <f>IF(H59&gt;0,H59*($J$6/100/12),0)</f>
      </c>
      <c r="S60" s="4">
        <f>IF(I59&gt;0,I59*($J$7/100/12),0)</f>
      </c>
      <c r="T60" s="4">
        <f>IF(J59&gt;0,J59*($J$8/100/12),0)</f>
      </c>
      <c r="U60" s="4">
        <f>IF(K59&gt;0,K59*($J$9/100/12),0)</f>
      </c>
      <c r="V60" s="4">
        <f>IF(L59&gt;0,L59*($J$10/100/12),0)</f>
      </c>
      <c r="W60" s="4">
        <f>IF(M59&gt;0,M59*($J$11/100/12),0)</f>
      </c>
      <c r="X60" s="4">
        <f>IF(N59&gt;0,N59*($J$12/100/12),0)</f>
      </c>
      <c r="Y60" s="4">
        <f>IF(O59&gt;0,O59*($J$13/100/12),0)</f>
      </c>
      <c r="Z60" s="4">
        <f>IF(P59&gt;0,P59*($J$14/100/12),0)</f>
      </c>
      <c r="AA60" s="4">
        <f>IF(G59&lt;=0,0,MIN($K$5,(G59+Q60)))</f>
      </c>
      <c r="AB60" s="4">
        <f>IF(H59&lt;=0,0,MIN($K$6,(H59+R60)))</f>
      </c>
      <c r="AC60" s="4">
        <f>IF(I59&lt;=0,0,MIN($K$7,(I59+S60)))</f>
      </c>
      <c r="AD60" s="4">
        <f>IF(J59&lt;=0,0,MIN($K$8,(J59+T60)))</f>
      </c>
      <c r="AE60" s="4">
        <f>IF(K59&lt;=0,0,MIN($K$9,(K59+U60)))</f>
      </c>
      <c r="AF60" s="4">
        <f>IF(L59&lt;=0,0,MIN($K$10,(L59+V60)))</f>
      </c>
      <c r="AG60" s="4">
        <f>IF(M59&lt;=0,0,MIN($K$11,(M59+W60)))</f>
      </c>
      <c r="AH60" s="4">
        <f>IF(N59&lt;=0,0,MIN($K$12,(N59+X60)))</f>
      </c>
      <c r="AI60" s="4">
        <f>IF(O59&lt;=0,0,MIN($K$13,(O59+Y60)))</f>
      </c>
      <c r="AJ60" s="4">
        <f>IF(P59&lt;=0,0,MIN($K$14,(P59+Z60)))</f>
      </c>
      <c r="AK60" s="4">
        <f>(G59+Q60)-AA60</f>
      </c>
      <c r="AL60" s="4">
        <f>(H59+R60)-AB60</f>
      </c>
      <c r="AM60" s="4">
        <f>(I59+S60)-AC60</f>
      </c>
      <c r="AN60" s="4">
        <f>(J59+T60)-AD60</f>
      </c>
      <c r="AO60" s="4">
        <f>(K59+U60)-AE60</f>
      </c>
      <c r="AP60" s="4">
        <f>(L59+V60)-AF60</f>
      </c>
      <c r="AQ60" s="4">
        <f>(M59+W60)-AG60</f>
      </c>
      <c r="AR60" s="4">
        <f>(N59+X60)-AH60</f>
      </c>
      <c r="AS60" s="4">
        <f>(O59+Y60)-AI60</f>
      </c>
      <c r="AT60" s="4">
        <f>(P59+Z60)-AJ60</f>
      </c>
      <c r="AU60" s="4">
        <f>$B$16+SUM($K$5:$K$14)-SUM(AA60:AJ60)</f>
      </c>
      <c r="AV60" s="4">
        <f>AU60-BE60</f>
      </c>
      <c r="AW60" s="4">
        <f>AV60-BF60</f>
      </c>
      <c r="AX60" s="4">
        <f>AW60-BG60</f>
      </c>
      <c r="AY60" s="4">
        <f>AX60-BH60</f>
      </c>
      <c r="AZ60" s="4">
        <f>AY60-BI60</f>
      </c>
      <c r="BA60" s="4">
        <f>AZ60-BJ60</f>
      </c>
      <c r="BB60" s="4">
        <f>BA60-BK60</f>
      </c>
      <c r="BC60" s="4">
        <f>BB60-BL60</f>
      </c>
      <c r="BD60" s="4">
        <f>BC60-BM60</f>
      </c>
      <c r="BE60" s="4">
        <f>IF(G59&lt;=0,0,MIN(AU60,AK60))</f>
      </c>
      <c r="BF60" s="4">
        <f>IF(H59&lt;=0,0,MIN(AV60,AL60))</f>
      </c>
      <c r="BG60" s="4">
        <f>IF(I59&lt;=0,0,MIN(AW60,AM60))</f>
      </c>
      <c r="BH60" s="4">
        <f>IF(J59&lt;=0,0,MIN(AX60,AN60))</f>
      </c>
      <c r="BI60" s="4">
        <f>IF(K59&lt;=0,0,MIN(AY60,AO60))</f>
      </c>
      <c r="BJ60" s="4">
        <f>IF(L59&lt;=0,0,MIN(AZ60,AP60))</f>
      </c>
      <c r="BK60" s="4">
        <f>IF(M59&lt;=0,0,MIN(BA60,AQ60))</f>
      </c>
      <c r="BL60" s="4">
        <f>IF(N59&lt;=0,0,MIN(BB60,AR60))</f>
      </c>
      <c r="BM60" s="4">
        <f>IF(O59&lt;=0,0,MIN(BC60,AS60))</f>
      </c>
      <c r="BN60" s="4">
        <f>IF(P59&lt;=0,0,MIN(BD60,AT60))</f>
      </c>
    </row>
    <row r="61" spans="1:66" x14ac:dyDescent="0.25">
      <c r="A61">
        <v>34</v>
      </c>
      <c r="B61" s="7">
        <f>EDATE($B$17,34)</f>
      </c>
      <c r="C61" s="4">
        <f>SUM(G61:P61)</f>
      </c>
      <c r="D61" s="4">
        <f>SUM(Q61:Z61)</f>
      </c>
      <c r="E61" s="4">
        <f>SUM(AA61:AJ61)+SUM(BE61:BN61)</f>
      </c>
      <c r="G61" s="4">
        <f>MAX(0,AK61-BE61)</f>
      </c>
      <c r="H61" s="4">
        <f>MAX(0,AL61-BF61)</f>
      </c>
      <c r="I61" s="4">
        <f>MAX(0,AM61-BG61)</f>
      </c>
      <c r="J61" s="4">
        <f>MAX(0,AN61-BH61)</f>
      </c>
      <c r="K61" s="4">
        <f>MAX(0,AO61-BI61)</f>
      </c>
      <c r="L61" s="4">
        <f>MAX(0,AP61-BJ61)</f>
      </c>
      <c r="M61" s="4">
        <f>MAX(0,AQ61-BK61)</f>
      </c>
      <c r="N61" s="4">
        <f>MAX(0,AR61-BL61)</f>
      </c>
      <c r="O61" s="4">
        <f>MAX(0,AS61-BM61)</f>
      </c>
      <c r="P61" s="4">
        <f>MAX(0,AT61-BN61)</f>
      </c>
      <c r="Q61" s="4">
        <f>IF(G60&gt;0,G60*($J$5/100/12),0)</f>
      </c>
      <c r="R61" s="4">
        <f>IF(H60&gt;0,H60*($J$6/100/12),0)</f>
      </c>
      <c r="S61" s="4">
        <f>IF(I60&gt;0,I60*($J$7/100/12),0)</f>
      </c>
      <c r="T61" s="4">
        <f>IF(J60&gt;0,J60*($J$8/100/12),0)</f>
      </c>
      <c r="U61" s="4">
        <f>IF(K60&gt;0,K60*($J$9/100/12),0)</f>
      </c>
      <c r="V61" s="4">
        <f>IF(L60&gt;0,L60*($J$10/100/12),0)</f>
      </c>
      <c r="W61" s="4">
        <f>IF(M60&gt;0,M60*($J$11/100/12),0)</f>
      </c>
      <c r="X61" s="4">
        <f>IF(N60&gt;0,N60*($J$12/100/12),0)</f>
      </c>
      <c r="Y61" s="4">
        <f>IF(O60&gt;0,O60*($J$13/100/12),0)</f>
      </c>
      <c r="Z61" s="4">
        <f>IF(P60&gt;0,P60*($J$14/100/12),0)</f>
      </c>
      <c r="AA61" s="4">
        <f>IF(G60&lt;=0,0,MIN($K$5,(G60+Q61)))</f>
      </c>
      <c r="AB61" s="4">
        <f>IF(H60&lt;=0,0,MIN($K$6,(H60+R61)))</f>
      </c>
      <c r="AC61" s="4">
        <f>IF(I60&lt;=0,0,MIN($K$7,(I60+S61)))</f>
      </c>
      <c r="AD61" s="4">
        <f>IF(J60&lt;=0,0,MIN($K$8,(J60+T61)))</f>
      </c>
      <c r="AE61" s="4">
        <f>IF(K60&lt;=0,0,MIN($K$9,(K60+U61)))</f>
      </c>
      <c r="AF61" s="4">
        <f>IF(L60&lt;=0,0,MIN($K$10,(L60+V61)))</f>
      </c>
      <c r="AG61" s="4">
        <f>IF(M60&lt;=0,0,MIN($K$11,(M60+W61)))</f>
      </c>
      <c r="AH61" s="4">
        <f>IF(N60&lt;=0,0,MIN($K$12,(N60+X61)))</f>
      </c>
      <c r="AI61" s="4">
        <f>IF(O60&lt;=0,0,MIN($K$13,(O60+Y61)))</f>
      </c>
      <c r="AJ61" s="4">
        <f>IF(P60&lt;=0,0,MIN($K$14,(P60+Z61)))</f>
      </c>
      <c r="AK61" s="4">
        <f>(G60+Q61)-AA61</f>
      </c>
      <c r="AL61" s="4">
        <f>(H60+R61)-AB61</f>
      </c>
      <c r="AM61" s="4">
        <f>(I60+S61)-AC61</f>
      </c>
      <c r="AN61" s="4">
        <f>(J60+T61)-AD61</f>
      </c>
      <c r="AO61" s="4">
        <f>(K60+U61)-AE61</f>
      </c>
      <c r="AP61" s="4">
        <f>(L60+V61)-AF61</f>
      </c>
      <c r="AQ61" s="4">
        <f>(M60+W61)-AG61</f>
      </c>
      <c r="AR61" s="4">
        <f>(N60+X61)-AH61</f>
      </c>
      <c r="AS61" s="4">
        <f>(O60+Y61)-AI61</f>
      </c>
      <c r="AT61" s="4">
        <f>(P60+Z61)-AJ61</f>
      </c>
      <c r="AU61" s="4">
        <f>$B$16+SUM($K$5:$K$14)-SUM(AA61:AJ61)</f>
      </c>
      <c r="AV61" s="4">
        <f>AU61-BE61</f>
      </c>
      <c r="AW61" s="4">
        <f>AV61-BF61</f>
      </c>
      <c r="AX61" s="4">
        <f>AW61-BG61</f>
      </c>
      <c r="AY61" s="4">
        <f>AX61-BH61</f>
      </c>
      <c r="AZ61" s="4">
        <f>AY61-BI61</f>
      </c>
      <c r="BA61" s="4">
        <f>AZ61-BJ61</f>
      </c>
      <c r="BB61" s="4">
        <f>BA61-BK61</f>
      </c>
      <c r="BC61" s="4">
        <f>BB61-BL61</f>
      </c>
      <c r="BD61" s="4">
        <f>BC61-BM61</f>
      </c>
      <c r="BE61" s="4">
        <f>IF(G60&lt;=0,0,MIN(AU61,AK61))</f>
      </c>
      <c r="BF61" s="4">
        <f>IF(H60&lt;=0,0,MIN(AV61,AL61))</f>
      </c>
      <c r="BG61" s="4">
        <f>IF(I60&lt;=0,0,MIN(AW61,AM61))</f>
      </c>
      <c r="BH61" s="4">
        <f>IF(J60&lt;=0,0,MIN(AX61,AN61))</f>
      </c>
      <c r="BI61" s="4">
        <f>IF(K60&lt;=0,0,MIN(AY61,AO61))</f>
      </c>
      <c r="BJ61" s="4">
        <f>IF(L60&lt;=0,0,MIN(AZ61,AP61))</f>
      </c>
      <c r="BK61" s="4">
        <f>IF(M60&lt;=0,0,MIN(BA61,AQ61))</f>
      </c>
      <c r="BL61" s="4">
        <f>IF(N60&lt;=0,0,MIN(BB61,AR61))</f>
      </c>
      <c r="BM61" s="4">
        <f>IF(O60&lt;=0,0,MIN(BC61,AS61))</f>
      </c>
      <c r="BN61" s="4">
        <f>IF(P60&lt;=0,0,MIN(BD61,AT61))</f>
      </c>
    </row>
    <row r="62" spans="1:66" x14ac:dyDescent="0.25">
      <c r="A62">
        <v>35</v>
      </c>
      <c r="B62" s="7">
        <f>EDATE($B$17,35)</f>
      </c>
      <c r="C62" s="4">
        <f>SUM(G62:P62)</f>
      </c>
      <c r="D62" s="4">
        <f>SUM(Q62:Z62)</f>
      </c>
      <c r="E62" s="4">
        <f>SUM(AA62:AJ62)+SUM(BE62:BN62)</f>
      </c>
      <c r="G62" s="4">
        <f>MAX(0,AK62-BE62)</f>
      </c>
      <c r="H62" s="4">
        <f>MAX(0,AL62-BF62)</f>
      </c>
      <c r="I62" s="4">
        <f>MAX(0,AM62-BG62)</f>
      </c>
      <c r="J62" s="4">
        <f>MAX(0,AN62-BH62)</f>
      </c>
      <c r="K62" s="4">
        <f>MAX(0,AO62-BI62)</f>
      </c>
      <c r="L62" s="4">
        <f>MAX(0,AP62-BJ62)</f>
      </c>
      <c r="M62" s="4">
        <f>MAX(0,AQ62-BK62)</f>
      </c>
      <c r="N62" s="4">
        <f>MAX(0,AR62-BL62)</f>
      </c>
      <c r="O62" s="4">
        <f>MAX(0,AS62-BM62)</f>
      </c>
      <c r="P62" s="4">
        <f>MAX(0,AT62-BN62)</f>
      </c>
      <c r="Q62" s="4">
        <f>IF(G61&gt;0,G61*($J$5/100/12),0)</f>
      </c>
      <c r="R62" s="4">
        <f>IF(H61&gt;0,H61*($J$6/100/12),0)</f>
      </c>
      <c r="S62" s="4">
        <f>IF(I61&gt;0,I61*($J$7/100/12),0)</f>
      </c>
      <c r="T62" s="4">
        <f>IF(J61&gt;0,J61*($J$8/100/12),0)</f>
      </c>
      <c r="U62" s="4">
        <f>IF(K61&gt;0,K61*($J$9/100/12),0)</f>
      </c>
      <c r="V62" s="4">
        <f>IF(L61&gt;0,L61*($J$10/100/12),0)</f>
      </c>
      <c r="W62" s="4">
        <f>IF(M61&gt;0,M61*($J$11/100/12),0)</f>
      </c>
      <c r="X62" s="4">
        <f>IF(N61&gt;0,N61*($J$12/100/12),0)</f>
      </c>
      <c r="Y62" s="4">
        <f>IF(O61&gt;0,O61*($J$13/100/12),0)</f>
      </c>
      <c r="Z62" s="4">
        <f>IF(P61&gt;0,P61*($J$14/100/12),0)</f>
      </c>
      <c r="AA62" s="4">
        <f>IF(G61&lt;=0,0,MIN($K$5,(G61+Q62)))</f>
      </c>
      <c r="AB62" s="4">
        <f>IF(H61&lt;=0,0,MIN($K$6,(H61+R62)))</f>
      </c>
      <c r="AC62" s="4">
        <f>IF(I61&lt;=0,0,MIN($K$7,(I61+S62)))</f>
      </c>
      <c r="AD62" s="4">
        <f>IF(J61&lt;=0,0,MIN($K$8,(J61+T62)))</f>
      </c>
      <c r="AE62" s="4">
        <f>IF(K61&lt;=0,0,MIN($K$9,(K61+U62)))</f>
      </c>
      <c r="AF62" s="4">
        <f>IF(L61&lt;=0,0,MIN($K$10,(L61+V62)))</f>
      </c>
      <c r="AG62" s="4">
        <f>IF(M61&lt;=0,0,MIN($K$11,(M61+W62)))</f>
      </c>
      <c r="AH62" s="4">
        <f>IF(N61&lt;=0,0,MIN($K$12,(N61+X62)))</f>
      </c>
      <c r="AI62" s="4">
        <f>IF(O61&lt;=0,0,MIN($K$13,(O61+Y62)))</f>
      </c>
      <c r="AJ62" s="4">
        <f>IF(P61&lt;=0,0,MIN($K$14,(P61+Z62)))</f>
      </c>
      <c r="AK62" s="4">
        <f>(G61+Q62)-AA62</f>
      </c>
      <c r="AL62" s="4">
        <f>(H61+R62)-AB62</f>
      </c>
      <c r="AM62" s="4">
        <f>(I61+S62)-AC62</f>
      </c>
      <c r="AN62" s="4">
        <f>(J61+T62)-AD62</f>
      </c>
      <c r="AO62" s="4">
        <f>(K61+U62)-AE62</f>
      </c>
      <c r="AP62" s="4">
        <f>(L61+V62)-AF62</f>
      </c>
      <c r="AQ62" s="4">
        <f>(M61+W62)-AG62</f>
      </c>
      <c r="AR62" s="4">
        <f>(N61+X62)-AH62</f>
      </c>
      <c r="AS62" s="4">
        <f>(O61+Y62)-AI62</f>
      </c>
      <c r="AT62" s="4">
        <f>(P61+Z62)-AJ62</f>
      </c>
      <c r="AU62" s="4">
        <f>$B$16+SUM($K$5:$K$14)-SUM(AA62:AJ62)</f>
      </c>
      <c r="AV62" s="4">
        <f>AU62-BE62</f>
      </c>
      <c r="AW62" s="4">
        <f>AV62-BF62</f>
      </c>
      <c r="AX62" s="4">
        <f>AW62-BG62</f>
      </c>
      <c r="AY62" s="4">
        <f>AX62-BH62</f>
      </c>
      <c r="AZ62" s="4">
        <f>AY62-BI62</f>
      </c>
      <c r="BA62" s="4">
        <f>AZ62-BJ62</f>
      </c>
      <c r="BB62" s="4">
        <f>BA62-BK62</f>
      </c>
      <c r="BC62" s="4">
        <f>BB62-BL62</f>
      </c>
      <c r="BD62" s="4">
        <f>BC62-BM62</f>
      </c>
      <c r="BE62" s="4">
        <f>IF(G61&lt;=0,0,MIN(AU62,AK62))</f>
      </c>
      <c r="BF62" s="4">
        <f>IF(H61&lt;=0,0,MIN(AV62,AL62))</f>
      </c>
      <c r="BG62" s="4">
        <f>IF(I61&lt;=0,0,MIN(AW62,AM62))</f>
      </c>
      <c r="BH62" s="4">
        <f>IF(J61&lt;=0,0,MIN(AX62,AN62))</f>
      </c>
      <c r="BI62" s="4">
        <f>IF(K61&lt;=0,0,MIN(AY62,AO62))</f>
      </c>
      <c r="BJ62" s="4">
        <f>IF(L61&lt;=0,0,MIN(AZ62,AP62))</f>
      </c>
      <c r="BK62" s="4">
        <f>IF(M61&lt;=0,0,MIN(BA62,AQ62))</f>
      </c>
      <c r="BL62" s="4">
        <f>IF(N61&lt;=0,0,MIN(BB62,AR62))</f>
      </c>
      <c r="BM62" s="4">
        <f>IF(O61&lt;=0,0,MIN(BC62,AS62))</f>
      </c>
      <c r="BN62" s="4">
        <f>IF(P61&lt;=0,0,MIN(BD62,AT62))</f>
      </c>
    </row>
    <row r="63" spans="1:66" x14ac:dyDescent="0.25">
      <c r="A63">
        <v>36</v>
      </c>
      <c r="B63" s="7">
        <f>EDATE($B$17,36)</f>
      </c>
      <c r="C63" s="4">
        <f>SUM(G63:P63)</f>
      </c>
      <c r="D63" s="4">
        <f>SUM(Q63:Z63)</f>
      </c>
      <c r="E63" s="4">
        <f>SUM(AA63:AJ63)+SUM(BE63:BN63)</f>
      </c>
      <c r="G63" s="4">
        <f>MAX(0,AK63-BE63)</f>
      </c>
      <c r="H63" s="4">
        <f>MAX(0,AL63-BF63)</f>
      </c>
      <c r="I63" s="4">
        <f>MAX(0,AM63-BG63)</f>
      </c>
      <c r="J63" s="4">
        <f>MAX(0,AN63-BH63)</f>
      </c>
      <c r="K63" s="4">
        <f>MAX(0,AO63-BI63)</f>
      </c>
      <c r="L63" s="4">
        <f>MAX(0,AP63-BJ63)</f>
      </c>
      <c r="M63" s="4">
        <f>MAX(0,AQ63-BK63)</f>
      </c>
      <c r="N63" s="4">
        <f>MAX(0,AR63-BL63)</f>
      </c>
      <c r="O63" s="4">
        <f>MAX(0,AS63-BM63)</f>
      </c>
      <c r="P63" s="4">
        <f>MAX(0,AT63-BN63)</f>
      </c>
      <c r="Q63" s="4">
        <f>IF(G62&gt;0,G62*($J$5/100/12),0)</f>
      </c>
      <c r="R63" s="4">
        <f>IF(H62&gt;0,H62*($J$6/100/12),0)</f>
      </c>
      <c r="S63" s="4">
        <f>IF(I62&gt;0,I62*($J$7/100/12),0)</f>
      </c>
      <c r="T63" s="4">
        <f>IF(J62&gt;0,J62*($J$8/100/12),0)</f>
      </c>
      <c r="U63" s="4">
        <f>IF(K62&gt;0,K62*($J$9/100/12),0)</f>
      </c>
      <c r="V63" s="4">
        <f>IF(L62&gt;0,L62*($J$10/100/12),0)</f>
      </c>
      <c r="W63" s="4">
        <f>IF(M62&gt;0,M62*($J$11/100/12),0)</f>
      </c>
      <c r="X63" s="4">
        <f>IF(N62&gt;0,N62*($J$12/100/12),0)</f>
      </c>
      <c r="Y63" s="4">
        <f>IF(O62&gt;0,O62*($J$13/100/12),0)</f>
      </c>
      <c r="Z63" s="4">
        <f>IF(P62&gt;0,P62*($J$14/100/12),0)</f>
      </c>
      <c r="AA63" s="4">
        <f>IF(G62&lt;=0,0,MIN($K$5,(G62+Q63)))</f>
      </c>
      <c r="AB63" s="4">
        <f>IF(H62&lt;=0,0,MIN($K$6,(H62+R63)))</f>
      </c>
      <c r="AC63" s="4">
        <f>IF(I62&lt;=0,0,MIN($K$7,(I62+S63)))</f>
      </c>
      <c r="AD63" s="4">
        <f>IF(J62&lt;=0,0,MIN($K$8,(J62+T63)))</f>
      </c>
      <c r="AE63" s="4">
        <f>IF(K62&lt;=0,0,MIN($K$9,(K62+U63)))</f>
      </c>
      <c r="AF63" s="4">
        <f>IF(L62&lt;=0,0,MIN($K$10,(L62+V63)))</f>
      </c>
      <c r="AG63" s="4">
        <f>IF(M62&lt;=0,0,MIN($K$11,(M62+W63)))</f>
      </c>
      <c r="AH63" s="4">
        <f>IF(N62&lt;=0,0,MIN($K$12,(N62+X63)))</f>
      </c>
      <c r="AI63" s="4">
        <f>IF(O62&lt;=0,0,MIN($K$13,(O62+Y63)))</f>
      </c>
      <c r="AJ63" s="4">
        <f>IF(P62&lt;=0,0,MIN($K$14,(P62+Z63)))</f>
      </c>
      <c r="AK63" s="4">
        <f>(G62+Q63)-AA63</f>
      </c>
      <c r="AL63" s="4">
        <f>(H62+R63)-AB63</f>
      </c>
      <c r="AM63" s="4">
        <f>(I62+S63)-AC63</f>
      </c>
      <c r="AN63" s="4">
        <f>(J62+T63)-AD63</f>
      </c>
      <c r="AO63" s="4">
        <f>(K62+U63)-AE63</f>
      </c>
      <c r="AP63" s="4">
        <f>(L62+V63)-AF63</f>
      </c>
      <c r="AQ63" s="4">
        <f>(M62+W63)-AG63</f>
      </c>
      <c r="AR63" s="4">
        <f>(N62+X63)-AH63</f>
      </c>
      <c r="AS63" s="4">
        <f>(O62+Y63)-AI63</f>
      </c>
      <c r="AT63" s="4">
        <f>(P62+Z63)-AJ63</f>
      </c>
      <c r="AU63" s="4">
        <f>$B$16+SUM($K$5:$K$14)-SUM(AA63:AJ63)</f>
      </c>
      <c r="AV63" s="4">
        <f>AU63-BE63</f>
      </c>
      <c r="AW63" s="4">
        <f>AV63-BF63</f>
      </c>
      <c r="AX63" s="4">
        <f>AW63-BG63</f>
      </c>
      <c r="AY63" s="4">
        <f>AX63-BH63</f>
      </c>
      <c r="AZ63" s="4">
        <f>AY63-BI63</f>
      </c>
      <c r="BA63" s="4">
        <f>AZ63-BJ63</f>
      </c>
      <c r="BB63" s="4">
        <f>BA63-BK63</f>
      </c>
      <c r="BC63" s="4">
        <f>BB63-BL63</f>
      </c>
      <c r="BD63" s="4">
        <f>BC63-BM63</f>
      </c>
      <c r="BE63" s="4">
        <f>IF(G62&lt;=0,0,MIN(AU63,AK63))</f>
      </c>
      <c r="BF63" s="4">
        <f>IF(H62&lt;=0,0,MIN(AV63,AL63))</f>
      </c>
      <c r="BG63" s="4">
        <f>IF(I62&lt;=0,0,MIN(AW63,AM63))</f>
      </c>
      <c r="BH63" s="4">
        <f>IF(J62&lt;=0,0,MIN(AX63,AN63))</f>
      </c>
      <c r="BI63" s="4">
        <f>IF(K62&lt;=0,0,MIN(AY63,AO63))</f>
      </c>
      <c r="BJ63" s="4">
        <f>IF(L62&lt;=0,0,MIN(AZ63,AP63))</f>
      </c>
      <c r="BK63" s="4">
        <f>IF(M62&lt;=0,0,MIN(BA63,AQ63))</f>
      </c>
      <c r="BL63" s="4">
        <f>IF(N62&lt;=0,0,MIN(BB63,AR63))</f>
      </c>
      <c r="BM63" s="4">
        <f>IF(O62&lt;=0,0,MIN(BC63,AS63))</f>
      </c>
      <c r="BN63" s="4">
        <f>IF(P62&lt;=0,0,MIN(BD63,AT63))</f>
      </c>
    </row>
    <row r="64" spans="1:66" x14ac:dyDescent="0.25">
      <c r="A64">
        <v>37</v>
      </c>
      <c r="B64" s="7">
        <f>EDATE($B$17,37)</f>
      </c>
      <c r="C64" s="4">
        <f>SUM(G64:P64)</f>
      </c>
      <c r="D64" s="4">
        <f>SUM(Q64:Z64)</f>
      </c>
      <c r="E64" s="4">
        <f>SUM(AA64:AJ64)+SUM(BE64:BN64)</f>
      </c>
      <c r="G64" s="4">
        <f>MAX(0,AK64-BE64)</f>
      </c>
      <c r="H64" s="4">
        <f>MAX(0,AL64-BF64)</f>
      </c>
      <c r="I64" s="4">
        <f>MAX(0,AM64-BG64)</f>
      </c>
      <c r="J64" s="4">
        <f>MAX(0,AN64-BH64)</f>
      </c>
      <c r="K64" s="4">
        <f>MAX(0,AO64-BI64)</f>
      </c>
      <c r="L64" s="4">
        <f>MAX(0,AP64-BJ64)</f>
      </c>
      <c r="M64" s="4">
        <f>MAX(0,AQ64-BK64)</f>
      </c>
      <c r="N64" s="4">
        <f>MAX(0,AR64-BL64)</f>
      </c>
      <c r="O64" s="4">
        <f>MAX(0,AS64-BM64)</f>
      </c>
      <c r="P64" s="4">
        <f>MAX(0,AT64-BN64)</f>
      </c>
      <c r="Q64" s="4">
        <f>IF(G63&gt;0,G63*($J$5/100/12),0)</f>
      </c>
      <c r="R64" s="4">
        <f>IF(H63&gt;0,H63*($J$6/100/12),0)</f>
      </c>
      <c r="S64" s="4">
        <f>IF(I63&gt;0,I63*($J$7/100/12),0)</f>
      </c>
      <c r="T64" s="4">
        <f>IF(J63&gt;0,J63*($J$8/100/12),0)</f>
      </c>
      <c r="U64" s="4">
        <f>IF(K63&gt;0,K63*($J$9/100/12),0)</f>
      </c>
      <c r="V64" s="4">
        <f>IF(L63&gt;0,L63*($J$10/100/12),0)</f>
      </c>
      <c r="W64" s="4">
        <f>IF(M63&gt;0,M63*($J$11/100/12),0)</f>
      </c>
      <c r="X64" s="4">
        <f>IF(N63&gt;0,N63*($J$12/100/12),0)</f>
      </c>
      <c r="Y64" s="4">
        <f>IF(O63&gt;0,O63*($J$13/100/12),0)</f>
      </c>
      <c r="Z64" s="4">
        <f>IF(P63&gt;0,P63*($J$14/100/12),0)</f>
      </c>
      <c r="AA64" s="4">
        <f>IF(G63&lt;=0,0,MIN($K$5,(G63+Q64)))</f>
      </c>
      <c r="AB64" s="4">
        <f>IF(H63&lt;=0,0,MIN($K$6,(H63+R64)))</f>
      </c>
      <c r="AC64" s="4">
        <f>IF(I63&lt;=0,0,MIN($K$7,(I63+S64)))</f>
      </c>
      <c r="AD64" s="4">
        <f>IF(J63&lt;=0,0,MIN($K$8,(J63+T64)))</f>
      </c>
      <c r="AE64" s="4">
        <f>IF(K63&lt;=0,0,MIN($K$9,(K63+U64)))</f>
      </c>
      <c r="AF64" s="4">
        <f>IF(L63&lt;=0,0,MIN($K$10,(L63+V64)))</f>
      </c>
      <c r="AG64" s="4">
        <f>IF(M63&lt;=0,0,MIN($K$11,(M63+W64)))</f>
      </c>
      <c r="AH64" s="4">
        <f>IF(N63&lt;=0,0,MIN($K$12,(N63+X64)))</f>
      </c>
      <c r="AI64" s="4">
        <f>IF(O63&lt;=0,0,MIN($K$13,(O63+Y64)))</f>
      </c>
      <c r="AJ64" s="4">
        <f>IF(P63&lt;=0,0,MIN($K$14,(P63+Z64)))</f>
      </c>
      <c r="AK64" s="4">
        <f>(G63+Q64)-AA64</f>
      </c>
      <c r="AL64" s="4">
        <f>(H63+R64)-AB64</f>
      </c>
      <c r="AM64" s="4">
        <f>(I63+S64)-AC64</f>
      </c>
      <c r="AN64" s="4">
        <f>(J63+T64)-AD64</f>
      </c>
      <c r="AO64" s="4">
        <f>(K63+U64)-AE64</f>
      </c>
      <c r="AP64" s="4">
        <f>(L63+V64)-AF64</f>
      </c>
      <c r="AQ64" s="4">
        <f>(M63+W64)-AG64</f>
      </c>
      <c r="AR64" s="4">
        <f>(N63+X64)-AH64</f>
      </c>
      <c r="AS64" s="4">
        <f>(O63+Y64)-AI64</f>
      </c>
      <c r="AT64" s="4">
        <f>(P63+Z64)-AJ64</f>
      </c>
      <c r="AU64" s="4">
        <f>$B$16+SUM($K$5:$K$14)-SUM(AA64:AJ64)</f>
      </c>
      <c r="AV64" s="4">
        <f>AU64-BE64</f>
      </c>
      <c r="AW64" s="4">
        <f>AV64-BF64</f>
      </c>
      <c r="AX64" s="4">
        <f>AW64-BG64</f>
      </c>
      <c r="AY64" s="4">
        <f>AX64-BH64</f>
      </c>
      <c r="AZ64" s="4">
        <f>AY64-BI64</f>
      </c>
      <c r="BA64" s="4">
        <f>AZ64-BJ64</f>
      </c>
      <c r="BB64" s="4">
        <f>BA64-BK64</f>
      </c>
      <c r="BC64" s="4">
        <f>BB64-BL64</f>
      </c>
      <c r="BD64" s="4">
        <f>BC64-BM64</f>
      </c>
      <c r="BE64" s="4">
        <f>IF(G63&lt;=0,0,MIN(AU64,AK64))</f>
      </c>
      <c r="BF64" s="4">
        <f>IF(H63&lt;=0,0,MIN(AV64,AL64))</f>
      </c>
      <c r="BG64" s="4">
        <f>IF(I63&lt;=0,0,MIN(AW64,AM64))</f>
      </c>
      <c r="BH64" s="4">
        <f>IF(J63&lt;=0,0,MIN(AX64,AN64))</f>
      </c>
      <c r="BI64" s="4">
        <f>IF(K63&lt;=0,0,MIN(AY64,AO64))</f>
      </c>
      <c r="BJ64" s="4">
        <f>IF(L63&lt;=0,0,MIN(AZ64,AP64))</f>
      </c>
      <c r="BK64" s="4">
        <f>IF(M63&lt;=0,0,MIN(BA64,AQ64))</f>
      </c>
      <c r="BL64" s="4">
        <f>IF(N63&lt;=0,0,MIN(BB64,AR64))</f>
      </c>
      <c r="BM64" s="4">
        <f>IF(O63&lt;=0,0,MIN(BC64,AS64))</f>
      </c>
      <c r="BN64" s="4">
        <f>IF(P63&lt;=0,0,MIN(BD64,AT64))</f>
      </c>
    </row>
    <row r="65" spans="1:66" x14ac:dyDescent="0.25">
      <c r="A65">
        <v>38</v>
      </c>
      <c r="B65" s="7">
        <f>EDATE($B$17,38)</f>
      </c>
      <c r="C65" s="4">
        <f>SUM(G65:P65)</f>
      </c>
      <c r="D65" s="4">
        <f>SUM(Q65:Z65)</f>
      </c>
      <c r="E65" s="4">
        <f>SUM(AA65:AJ65)+SUM(BE65:BN65)</f>
      </c>
      <c r="G65" s="4">
        <f>MAX(0,AK65-BE65)</f>
      </c>
      <c r="H65" s="4">
        <f>MAX(0,AL65-BF65)</f>
      </c>
      <c r="I65" s="4">
        <f>MAX(0,AM65-BG65)</f>
      </c>
      <c r="J65" s="4">
        <f>MAX(0,AN65-BH65)</f>
      </c>
      <c r="K65" s="4">
        <f>MAX(0,AO65-BI65)</f>
      </c>
      <c r="L65" s="4">
        <f>MAX(0,AP65-BJ65)</f>
      </c>
      <c r="M65" s="4">
        <f>MAX(0,AQ65-BK65)</f>
      </c>
      <c r="N65" s="4">
        <f>MAX(0,AR65-BL65)</f>
      </c>
      <c r="O65" s="4">
        <f>MAX(0,AS65-BM65)</f>
      </c>
      <c r="P65" s="4">
        <f>MAX(0,AT65-BN65)</f>
      </c>
      <c r="Q65" s="4">
        <f>IF(G64&gt;0,G64*($J$5/100/12),0)</f>
      </c>
      <c r="R65" s="4">
        <f>IF(H64&gt;0,H64*($J$6/100/12),0)</f>
      </c>
      <c r="S65" s="4">
        <f>IF(I64&gt;0,I64*($J$7/100/12),0)</f>
      </c>
      <c r="T65" s="4">
        <f>IF(J64&gt;0,J64*($J$8/100/12),0)</f>
      </c>
      <c r="U65" s="4">
        <f>IF(K64&gt;0,K64*($J$9/100/12),0)</f>
      </c>
      <c r="V65" s="4">
        <f>IF(L64&gt;0,L64*($J$10/100/12),0)</f>
      </c>
      <c r="W65" s="4">
        <f>IF(M64&gt;0,M64*($J$11/100/12),0)</f>
      </c>
      <c r="X65" s="4">
        <f>IF(N64&gt;0,N64*($J$12/100/12),0)</f>
      </c>
      <c r="Y65" s="4">
        <f>IF(O64&gt;0,O64*($J$13/100/12),0)</f>
      </c>
      <c r="Z65" s="4">
        <f>IF(P64&gt;0,P64*($J$14/100/12),0)</f>
      </c>
      <c r="AA65" s="4">
        <f>IF(G64&lt;=0,0,MIN($K$5,(G64+Q65)))</f>
      </c>
      <c r="AB65" s="4">
        <f>IF(H64&lt;=0,0,MIN($K$6,(H64+R65)))</f>
      </c>
      <c r="AC65" s="4">
        <f>IF(I64&lt;=0,0,MIN($K$7,(I64+S65)))</f>
      </c>
      <c r="AD65" s="4">
        <f>IF(J64&lt;=0,0,MIN($K$8,(J64+T65)))</f>
      </c>
      <c r="AE65" s="4">
        <f>IF(K64&lt;=0,0,MIN($K$9,(K64+U65)))</f>
      </c>
      <c r="AF65" s="4">
        <f>IF(L64&lt;=0,0,MIN($K$10,(L64+V65)))</f>
      </c>
      <c r="AG65" s="4">
        <f>IF(M64&lt;=0,0,MIN($K$11,(M64+W65)))</f>
      </c>
      <c r="AH65" s="4">
        <f>IF(N64&lt;=0,0,MIN($K$12,(N64+X65)))</f>
      </c>
      <c r="AI65" s="4">
        <f>IF(O64&lt;=0,0,MIN($K$13,(O64+Y65)))</f>
      </c>
      <c r="AJ65" s="4">
        <f>IF(P64&lt;=0,0,MIN($K$14,(P64+Z65)))</f>
      </c>
      <c r="AK65" s="4">
        <f>(G64+Q65)-AA65</f>
      </c>
      <c r="AL65" s="4">
        <f>(H64+R65)-AB65</f>
      </c>
      <c r="AM65" s="4">
        <f>(I64+S65)-AC65</f>
      </c>
      <c r="AN65" s="4">
        <f>(J64+T65)-AD65</f>
      </c>
      <c r="AO65" s="4">
        <f>(K64+U65)-AE65</f>
      </c>
      <c r="AP65" s="4">
        <f>(L64+V65)-AF65</f>
      </c>
      <c r="AQ65" s="4">
        <f>(M64+W65)-AG65</f>
      </c>
      <c r="AR65" s="4">
        <f>(N64+X65)-AH65</f>
      </c>
      <c r="AS65" s="4">
        <f>(O64+Y65)-AI65</f>
      </c>
      <c r="AT65" s="4">
        <f>(P64+Z65)-AJ65</f>
      </c>
      <c r="AU65" s="4">
        <f>$B$16+SUM($K$5:$K$14)-SUM(AA65:AJ65)</f>
      </c>
      <c r="AV65" s="4">
        <f>AU65-BE65</f>
      </c>
      <c r="AW65" s="4">
        <f>AV65-BF65</f>
      </c>
      <c r="AX65" s="4">
        <f>AW65-BG65</f>
      </c>
      <c r="AY65" s="4">
        <f>AX65-BH65</f>
      </c>
      <c r="AZ65" s="4">
        <f>AY65-BI65</f>
      </c>
      <c r="BA65" s="4">
        <f>AZ65-BJ65</f>
      </c>
      <c r="BB65" s="4">
        <f>BA65-BK65</f>
      </c>
      <c r="BC65" s="4">
        <f>BB65-BL65</f>
      </c>
      <c r="BD65" s="4">
        <f>BC65-BM65</f>
      </c>
      <c r="BE65" s="4">
        <f>IF(G64&lt;=0,0,MIN(AU65,AK65))</f>
      </c>
      <c r="BF65" s="4">
        <f>IF(H64&lt;=0,0,MIN(AV65,AL65))</f>
      </c>
      <c r="BG65" s="4">
        <f>IF(I64&lt;=0,0,MIN(AW65,AM65))</f>
      </c>
      <c r="BH65" s="4">
        <f>IF(J64&lt;=0,0,MIN(AX65,AN65))</f>
      </c>
      <c r="BI65" s="4">
        <f>IF(K64&lt;=0,0,MIN(AY65,AO65))</f>
      </c>
      <c r="BJ65" s="4">
        <f>IF(L64&lt;=0,0,MIN(AZ65,AP65))</f>
      </c>
      <c r="BK65" s="4">
        <f>IF(M64&lt;=0,0,MIN(BA65,AQ65))</f>
      </c>
      <c r="BL65" s="4">
        <f>IF(N64&lt;=0,0,MIN(BB65,AR65))</f>
      </c>
      <c r="BM65" s="4">
        <f>IF(O64&lt;=0,0,MIN(BC65,AS65))</f>
      </c>
      <c r="BN65" s="4">
        <f>IF(P64&lt;=0,0,MIN(BD65,AT65))</f>
      </c>
    </row>
    <row r="66" spans="1:66" x14ac:dyDescent="0.25">
      <c r="A66">
        <v>39</v>
      </c>
      <c r="B66" s="7">
        <f>EDATE($B$17,39)</f>
      </c>
      <c r="C66" s="4">
        <f>SUM(G66:P66)</f>
      </c>
      <c r="D66" s="4">
        <f>SUM(Q66:Z66)</f>
      </c>
      <c r="E66" s="4">
        <f>SUM(AA66:AJ66)+SUM(BE66:BN66)</f>
      </c>
      <c r="G66" s="4">
        <f>MAX(0,AK66-BE66)</f>
      </c>
      <c r="H66" s="4">
        <f>MAX(0,AL66-BF66)</f>
      </c>
      <c r="I66" s="4">
        <f>MAX(0,AM66-BG66)</f>
      </c>
      <c r="J66" s="4">
        <f>MAX(0,AN66-BH66)</f>
      </c>
      <c r="K66" s="4">
        <f>MAX(0,AO66-BI66)</f>
      </c>
      <c r="L66" s="4">
        <f>MAX(0,AP66-BJ66)</f>
      </c>
      <c r="M66" s="4">
        <f>MAX(0,AQ66-BK66)</f>
      </c>
      <c r="N66" s="4">
        <f>MAX(0,AR66-BL66)</f>
      </c>
      <c r="O66" s="4">
        <f>MAX(0,AS66-BM66)</f>
      </c>
      <c r="P66" s="4">
        <f>MAX(0,AT66-BN66)</f>
      </c>
      <c r="Q66" s="4">
        <f>IF(G65&gt;0,G65*($J$5/100/12),0)</f>
      </c>
      <c r="R66" s="4">
        <f>IF(H65&gt;0,H65*($J$6/100/12),0)</f>
      </c>
      <c r="S66" s="4">
        <f>IF(I65&gt;0,I65*($J$7/100/12),0)</f>
      </c>
      <c r="T66" s="4">
        <f>IF(J65&gt;0,J65*($J$8/100/12),0)</f>
      </c>
      <c r="U66" s="4">
        <f>IF(K65&gt;0,K65*($J$9/100/12),0)</f>
      </c>
      <c r="V66" s="4">
        <f>IF(L65&gt;0,L65*($J$10/100/12),0)</f>
      </c>
      <c r="W66" s="4">
        <f>IF(M65&gt;0,M65*($J$11/100/12),0)</f>
      </c>
      <c r="X66" s="4">
        <f>IF(N65&gt;0,N65*($J$12/100/12),0)</f>
      </c>
      <c r="Y66" s="4">
        <f>IF(O65&gt;0,O65*($J$13/100/12),0)</f>
      </c>
      <c r="Z66" s="4">
        <f>IF(P65&gt;0,P65*($J$14/100/12),0)</f>
      </c>
      <c r="AA66" s="4">
        <f>IF(G65&lt;=0,0,MIN($K$5,(G65+Q66)))</f>
      </c>
      <c r="AB66" s="4">
        <f>IF(H65&lt;=0,0,MIN($K$6,(H65+R66)))</f>
      </c>
      <c r="AC66" s="4">
        <f>IF(I65&lt;=0,0,MIN($K$7,(I65+S66)))</f>
      </c>
      <c r="AD66" s="4">
        <f>IF(J65&lt;=0,0,MIN($K$8,(J65+T66)))</f>
      </c>
      <c r="AE66" s="4">
        <f>IF(K65&lt;=0,0,MIN($K$9,(K65+U66)))</f>
      </c>
      <c r="AF66" s="4">
        <f>IF(L65&lt;=0,0,MIN($K$10,(L65+V66)))</f>
      </c>
      <c r="AG66" s="4">
        <f>IF(M65&lt;=0,0,MIN($K$11,(M65+W66)))</f>
      </c>
      <c r="AH66" s="4">
        <f>IF(N65&lt;=0,0,MIN($K$12,(N65+X66)))</f>
      </c>
      <c r="AI66" s="4">
        <f>IF(O65&lt;=0,0,MIN($K$13,(O65+Y66)))</f>
      </c>
      <c r="AJ66" s="4">
        <f>IF(P65&lt;=0,0,MIN($K$14,(P65+Z66)))</f>
      </c>
      <c r="AK66" s="4">
        <f>(G65+Q66)-AA66</f>
      </c>
      <c r="AL66" s="4">
        <f>(H65+R66)-AB66</f>
      </c>
      <c r="AM66" s="4">
        <f>(I65+S66)-AC66</f>
      </c>
      <c r="AN66" s="4">
        <f>(J65+T66)-AD66</f>
      </c>
      <c r="AO66" s="4">
        <f>(K65+U66)-AE66</f>
      </c>
      <c r="AP66" s="4">
        <f>(L65+V66)-AF66</f>
      </c>
      <c r="AQ66" s="4">
        <f>(M65+W66)-AG66</f>
      </c>
      <c r="AR66" s="4">
        <f>(N65+X66)-AH66</f>
      </c>
      <c r="AS66" s="4">
        <f>(O65+Y66)-AI66</f>
      </c>
      <c r="AT66" s="4">
        <f>(P65+Z66)-AJ66</f>
      </c>
      <c r="AU66" s="4">
        <f>$B$16+SUM($K$5:$K$14)-SUM(AA66:AJ66)</f>
      </c>
      <c r="AV66" s="4">
        <f>AU66-BE66</f>
      </c>
      <c r="AW66" s="4">
        <f>AV66-BF66</f>
      </c>
      <c r="AX66" s="4">
        <f>AW66-BG66</f>
      </c>
      <c r="AY66" s="4">
        <f>AX66-BH66</f>
      </c>
      <c r="AZ66" s="4">
        <f>AY66-BI66</f>
      </c>
      <c r="BA66" s="4">
        <f>AZ66-BJ66</f>
      </c>
      <c r="BB66" s="4">
        <f>BA66-BK66</f>
      </c>
      <c r="BC66" s="4">
        <f>BB66-BL66</f>
      </c>
      <c r="BD66" s="4">
        <f>BC66-BM66</f>
      </c>
      <c r="BE66" s="4">
        <f>IF(G65&lt;=0,0,MIN(AU66,AK66))</f>
      </c>
      <c r="BF66" s="4">
        <f>IF(H65&lt;=0,0,MIN(AV66,AL66))</f>
      </c>
      <c r="BG66" s="4">
        <f>IF(I65&lt;=0,0,MIN(AW66,AM66))</f>
      </c>
      <c r="BH66" s="4">
        <f>IF(J65&lt;=0,0,MIN(AX66,AN66))</f>
      </c>
      <c r="BI66" s="4">
        <f>IF(K65&lt;=0,0,MIN(AY66,AO66))</f>
      </c>
      <c r="BJ66" s="4">
        <f>IF(L65&lt;=0,0,MIN(AZ66,AP66))</f>
      </c>
      <c r="BK66" s="4">
        <f>IF(M65&lt;=0,0,MIN(BA66,AQ66))</f>
      </c>
      <c r="BL66" s="4">
        <f>IF(N65&lt;=0,0,MIN(BB66,AR66))</f>
      </c>
      <c r="BM66" s="4">
        <f>IF(O65&lt;=0,0,MIN(BC66,AS66))</f>
      </c>
      <c r="BN66" s="4">
        <f>IF(P65&lt;=0,0,MIN(BD66,AT66))</f>
      </c>
    </row>
    <row r="67" spans="1:66" x14ac:dyDescent="0.25">
      <c r="A67">
        <v>40</v>
      </c>
      <c r="B67" s="7">
        <f>EDATE($B$17,40)</f>
      </c>
      <c r="C67" s="4">
        <f>SUM(G67:P67)</f>
      </c>
      <c r="D67" s="4">
        <f>SUM(Q67:Z67)</f>
      </c>
      <c r="E67" s="4">
        <f>SUM(AA67:AJ67)+SUM(BE67:BN67)</f>
      </c>
      <c r="G67" s="4">
        <f>MAX(0,AK67-BE67)</f>
      </c>
      <c r="H67" s="4">
        <f>MAX(0,AL67-BF67)</f>
      </c>
      <c r="I67" s="4">
        <f>MAX(0,AM67-BG67)</f>
      </c>
      <c r="J67" s="4">
        <f>MAX(0,AN67-BH67)</f>
      </c>
      <c r="K67" s="4">
        <f>MAX(0,AO67-BI67)</f>
      </c>
      <c r="L67" s="4">
        <f>MAX(0,AP67-BJ67)</f>
      </c>
      <c r="M67" s="4">
        <f>MAX(0,AQ67-BK67)</f>
      </c>
      <c r="N67" s="4">
        <f>MAX(0,AR67-BL67)</f>
      </c>
      <c r="O67" s="4">
        <f>MAX(0,AS67-BM67)</f>
      </c>
      <c r="P67" s="4">
        <f>MAX(0,AT67-BN67)</f>
      </c>
      <c r="Q67" s="4">
        <f>IF(G66&gt;0,G66*($J$5/100/12),0)</f>
      </c>
      <c r="R67" s="4">
        <f>IF(H66&gt;0,H66*($J$6/100/12),0)</f>
      </c>
      <c r="S67" s="4">
        <f>IF(I66&gt;0,I66*($J$7/100/12),0)</f>
      </c>
      <c r="T67" s="4">
        <f>IF(J66&gt;0,J66*($J$8/100/12),0)</f>
      </c>
      <c r="U67" s="4">
        <f>IF(K66&gt;0,K66*($J$9/100/12),0)</f>
      </c>
      <c r="V67" s="4">
        <f>IF(L66&gt;0,L66*($J$10/100/12),0)</f>
      </c>
      <c r="W67" s="4">
        <f>IF(M66&gt;0,M66*($J$11/100/12),0)</f>
      </c>
      <c r="X67" s="4">
        <f>IF(N66&gt;0,N66*($J$12/100/12),0)</f>
      </c>
      <c r="Y67" s="4">
        <f>IF(O66&gt;0,O66*($J$13/100/12),0)</f>
      </c>
      <c r="Z67" s="4">
        <f>IF(P66&gt;0,P66*($J$14/100/12),0)</f>
      </c>
      <c r="AA67" s="4">
        <f>IF(G66&lt;=0,0,MIN($K$5,(G66+Q67)))</f>
      </c>
      <c r="AB67" s="4">
        <f>IF(H66&lt;=0,0,MIN($K$6,(H66+R67)))</f>
      </c>
      <c r="AC67" s="4">
        <f>IF(I66&lt;=0,0,MIN($K$7,(I66+S67)))</f>
      </c>
      <c r="AD67" s="4">
        <f>IF(J66&lt;=0,0,MIN($K$8,(J66+T67)))</f>
      </c>
      <c r="AE67" s="4">
        <f>IF(K66&lt;=0,0,MIN($K$9,(K66+U67)))</f>
      </c>
      <c r="AF67" s="4">
        <f>IF(L66&lt;=0,0,MIN($K$10,(L66+V67)))</f>
      </c>
      <c r="AG67" s="4">
        <f>IF(M66&lt;=0,0,MIN($K$11,(M66+W67)))</f>
      </c>
      <c r="AH67" s="4">
        <f>IF(N66&lt;=0,0,MIN($K$12,(N66+X67)))</f>
      </c>
      <c r="AI67" s="4">
        <f>IF(O66&lt;=0,0,MIN($K$13,(O66+Y67)))</f>
      </c>
      <c r="AJ67" s="4">
        <f>IF(P66&lt;=0,0,MIN($K$14,(P66+Z67)))</f>
      </c>
      <c r="AK67" s="4">
        <f>(G66+Q67)-AA67</f>
      </c>
      <c r="AL67" s="4">
        <f>(H66+R67)-AB67</f>
      </c>
      <c r="AM67" s="4">
        <f>(I66+S67)-AC67</f>
      </c>
      <c r="AN67" s="4">
        <f>(J66+T67)-AD67</f>
      </c>
      <c r="AO67" s="4">
        <f>(K66+U67)-AE67</f>
      </c>
      <c r="AP67" s="4">
        <f>(L66+V67)-AF67</f>
      </c>
      <c r="AQ67" s="4">
        <f>(M66+W67)-AG67</f>
      </c>
      <c r="AR67" s="4">
        <f>(N66+X67)-AH67</f>
      </c>
      <c r="AS67" s="4">
        <f>(O66+Y67)-AI67</f>
      </c>
      <c r="AT67" s="4">
        <f>(P66+Z67)-AJ67</f>
      </c>
      <c r="AU67" s="4">
        <f>$B$16+SUM($K$5:$K$14)-SUM(AA67:AJ67)</f>
      </c>
      <c r="AV67" s="4">
        <f>AU67-BE67</f>
      </c>
      <c r="AW67" s="4">
        <f>AV67-BF67</f>
      </c>
      <c r="AX67" s="4">
        <f>AW67-BG67</f>
      </c>
      <c r="AY67" s="4">
        <f>AX67-BH67</f>
      </c>
      <c r="AZ67" s="4">
        <f>AY67-BI67</f>
      </c>
      <c r="BA67" s="4">
        <f>AZ67-BJ67</f>
      </c>
      <c r="BB67" s="4">
        <f>BA67-BK67</f>
      </c>
      <c r="BC67" s="4">
        <f>BB67-BL67</f>
      </c>
      <c r="BD67" s="4">
        <f>BC67-BM67</f>
      </c>
      <c r="BE67" s="4">
        <f>IF(G66&lt;=0,0,MIN(AU67,AK67))</f>
      </c>
      <c r="BF67" s="4">
        <f>IF(H66&lt;=0,0,MIN(AV67,AL67))</f>
      </c>
      <c r="BG67" s="4">
        <f>IF(I66&lt;=0,0,MIN(AW67,AM67))</f>
      </c>
      <c r="BH67" s="4">
        <f>IF(J66&lt;=0,0,MIN(AX67,AN67))</f>
      </c>
      <c r="BI67" s="4">
        <f>IF(K66&lt;=0,0,MIN(AY67,AO67))</f>
      </c>
      <c r="BJ67" s="4">
        <f>IF(L66&lt;=0,0,MIN(AZ67,AP67))</f>
      </c>
      <c r="BK67" s="4">
        <f>IF(M66&lt;=0,0,MIN(BA67,AQ67))</f>
      </c>
      <c r="BL67" s="4">
        <f>IF(N66&lt;=0,0,MIN(BB67,AR67))</f>
      </c>
      <c r="BM67" s="4">
        <f>IF(O66&lt;=0,0,MIN(BC67,AS67))</f>
      </c>
      <c r="BN67" s="4">
        <f>IF(P66&lt;=0,0,MIN(BD67,AT67))</f>
      </c>
    </row>
    <row r="68" spans="1:66" x14ac:dyDescent="0.25">
      <c r="A68">
        <v>41</v>
      </c>
      <c r="B68" s="7">
        <f>EDATE($B$17,41)</f>
      </c>
      <c r="C68" s="4">
        <f>SUM(G68:P68)</f>
      </c>
      <c r="D68" s="4">
        <f>SUM(Q68:Z68)</f>
      </c>
      <c r="E68" s="4">
        <f>SUM(AA68:AJ68)+SUM(BE68:BN68)</f>
      </c>
      <c r="G68" s="4">
        <f>MAX(0,AK68-BE68)</f>
      </c>
      <c r="H68" s="4">
        <f>MAX(0,AL68-BF68)</f>
      </c>
      <c r="I68" s="4">
        <f>MAX(0,AM68-BG68)</f>
      </c>
      <c r="J68" s="4">
        <f>MAX(0,AN68-BH68)</f>
      </c>
      <c r="K68" s="4">
        <f>MAX(0,AO68-BI68)</f>
      </c>
      <c r="L68" s="4">
        <f>MAX(0,AP68-BJ68)</f>
      </c>
      <c r="M68" s="4">
        <f>MAX(0,AQ68-BK68)</f>
      </c>
      <c r="N68" s="4">
        <f>MAX(0,AR68-BL68)</f>
      </c>
      <c r="O68" s="4">
        <f>MAX(0,AS68-BM68)</f>
      </c>
      <c r="P68" s="4">
        <f>MAX(0,AT68-BN68)</f>
      </c>
      <c r="Q68" s="4">
        <f>IF(G67&gt;0,G67*($J$5/100/12),0)</f>
      </c>
      <c r="R68" s="4">
        <f>IF(H67&gt;0,H67*($J$6/100/12),0)</f>
      </c>
      <c r="S68" s="4">
        <f>IF(I67&gt;0,I67*($J$7/100/12),0)</f>
      </c>
      <c r="T68" s="4">
        <f>IF(J67&gt;0,J67*($J$8/100/12),0)</f>
      </c>
      <c r="U68" s="4">
        <f>IF(K67&gt;0,K67*($J$9/100/12),0)</f>
      </c>
      <c r="V68" s="4">
        <f>IF(L67&gt;0,L67*($J$10/100/12),0)</f>
      </c>
      <c r="W68" s="4">
        <f>IF(M67&gt;0,M67*($J$11/100/12),0)</f>
      </c>
      <c r="X68" s="4">
        <f>IF(N67&gt;0,N67*($J$12/100/12),0)</f>
      </c>
      <c r="Y68" s="4">
        <f>IF(O67&gt;0,O67*($J$13/100/12),0)</f>
      </c>
      <c r="Z68" s="4">
        <f>IF(P67&gt;0,P67*($J$14/100/12),0)</f>
      </c>
      <c r="AA68" s="4">
        <f>IF(G67&lt;=0,0,MIN($K$5,(G67+Q68)))</f>
      </c>
      <c r="AB68" s="4">
        <f>IF(H67&lt;=0,0,MIN($K$6,(H67+R68)))</f>
      </c>
      <c r="AC68" s="4">
        <f>IF(I67&lt;=0,0,MIN($K$7,(I67+S68)))</f>
      </c>
      <c r="AD68" s="4">
        <f>IF(J67&lt;=0,0,MIN($K$8,(J67+T68)))</f>
      </c>
      <c r="AE68" s="4">
        <f>IF(K67&lt;=0,0,MIN($K$9,(K67+U68)))</f>
      </c>
      <c r="AF68" s="4">
        <f>IF(L67&lt;=0,0,MIN($K$10,(L67+V68)))</f>
      </c>
      <c r="AG68" s="4">
        <f>IF(M67&lt;=0,0,MIN($K$11,(M67+W68)))</f>
      </c>
      <c r="AH68" s="4">
        <f>IF(N67&lt;=0,0,MIN($K$12,(N67+X68)))</f>
      </c>
      <c r="AI68" s="4">
        <f>IF(O67&lt;=0,0,MIN($K$13,(O67+Y68)))</f>
      </c>
      <c r="AJ68" s="4">
        <f>IF(P67&lt;=0,0,MIN($K$14,(P67+Z68)))</f>
      </c>
      <c r="AK68" s="4">
        <f>(G67+Q68)-AA68</f>
      </c>
      <c r="AL68" s="4">
        <f>(H67+R68)-AB68</f>
      </c>
      <c r="AM68" s="4">
        <f>(I67+S68)-AC68</f>
      </c>
      <c r="AN68" s="4">
        <f>(J67+T68)-AD68</f>
      </c>
      <c r="AO68" s="4">
        <f>(K67+U68)-AE68</f>
      </c>
      <c r="AP68" s="4">
        <f>(L67+V68)-AF68</f>
      </c>
      <c r="AQ68" s="4">
        <f>(M67+W68)-AG68</f>
      </c>
      <c r="AR68" s="4">
        <f>(N67+X68)-AH68</f>
      </c>
      <c r="AS68" s="4">
        <f>(O67+Y68)-AI68</f>
      </c>
      <c r="AT68" s="4">
        <f>(P67+Z68)-AJ68</f>
      </c>
      <c r="AU68" s="4">
        <f>$B$16+SUM($K$5:$K$14)-SUM(AA68:AJ68)</f>
      </c>
      <c r="AV68" s="4">
        <f>AU68-BE68</f>
      </c>
      <c r="AW68" s="4">
        <f>AV68-BF68</f>
      </c>
      <c r="AX68" s="4">
        <f>AW68-BG68</f>
      </c>
      <c r="AY68" s="4">
        <f>AX68-BH68</f>
      </c>
      <c r="AZ68" s="4">
        <f>AY68-BI68</f>
      </c>
      <c r="BA68" s="4">
        <f>AZ68-BJ68</f>
      </c>
      <c r="BB68" s="4">
        <f>BA68-BK68</f>
      </c>
      <c r="BC68" s="4">
        <f>BB68-BL68</f>
      </c>
      <c r="BD68" s="4">
        <f>BC68-BM68</f>
      </c>
      <c r="BE68" s="4">
        <f>IF(G67&lt;=0,0,MIN(AU68,AK68))</f>
      </c>
      <c r="BF68" s="4">
        <f>IF(H67&lt;=0,0,MIN(AV68,AL68))</f>
      </c>
      <c r="BG68" s="4">
        <f>IF(I67&lt;=0,0,MIN(AW68,AM68))</f>
      </c>
      <c r="BH68" s="4">
        <f>IF(J67&lt;=0,0,MIN(AX68,AN68))</f>
      </c>
      <c r="BI68" s="4">
        <f>IF(K67&lt;=0,0,MIN(AY68,AO68))</f>
      </c>
      <c r="BJ68" s="4">
        <f>IF(L67&lt;=0,0,MIN(AZ68,AP68))</f>
      </c>
      <c r="BK68" s="4">
        <f>IF(M67&lt;=0,0,MIN(BA68,AQ68))</f>
      </c>
      <c r="BL68" s="4">
        <f>IF(N67&lt;=0,0,MIN(BB68,AR68))</f>
      </c>
      <c r="BM68" s="4">
        <f>IF(O67&lt;=0,0,MIN(BC68,AS68))</f>
      </c>
      <c r="BN68" s="4">
        <f>IF(P67&lt;=0,0,MIN(BD68,AT68))</f>
      </c>
    </row>
    <row r="69" spans="1:66" x14ac:dyDescent="0.25">
      <c r="A69">
        <v>42</v>
      </c>
      <c r="B69" s="7">
        <f>EDATE($B$17,42)</f>
      </c>
      <c r="C69" s="4">
        <f>SUM(G69:P69)</f>
      </c>
      <c r="D69" s="4">
        <f>SUM(Q69:Z69)</f>
      </c>
      <c r="E69" s="4">
        <f>SUM(AA69:AJ69)+SUM(BE69:BN69)</f>
      </c>
      <c r="G69" s="4">
        <f>MAX(0,AK69-BE69)</f>
      </c>
      <c r="H69" s="4">
        <f>MAX(0,AL69-BF69)</f>
      </c>
      <c r="I69" s="4">
        <f>MAX(0,AM69-BG69)</f>
      </c>
      <c r="J69" s="4">
        <f>MAX(0,AN69-BH69)</f>
      </c>
      <c r="K69" s="4">
        <f>MAX(0,AO69-BI69)</f>
      </c>
      <c r="L69" s="4">
        <f>MAX(0,AP69-BJ69)</f>
      </c>
      <c r="M69" s="4">
        <f>MAX(0,AQ69-BK69)</f>
      </c>
      <c r="N69" s="4">
        <f>MAX(0,AR69-BL69)</f>
      </c>
      <c r="O69" s="4">
        <f>MAX(0,AS69-BM69)</f>
      </c>
      <c r="P69" s="4">
        <f>MAX(0,AT69-BN69)</f>
      </c>
      <c r="Q69" s="4">
        <f>IF(G68&gt;0,G68*($J$5/100/12),0)</f>
      </c>
      <c r="R69" s="4">
        <f>IF(H68&gt;0,H68*($J$6/100/12),0)</f>
      </c>
      <c r="S69" s="4">
        <f>IF(I68&gt;0,I68*($J$7/100/12),0)</f>
      </c>
      <c r="T69" s="4">
        <f>IF(J68&gt;0,J68*($J$8/100/12),0)</f>
      </c>
      <c r="U69" s="4">
        <f>IF(K68&gt;0,K68*($J$9/100/12),0)</f>
      </c>
      <c r="V69" s="4">
        <f>IF(L68&gt;0,L68*($J$10/100/12),0)</f>
      </c>
      <c r="W69" s="4">
        <f>IF(M68&gt;0,M68*($J$11/100/12),0)</f>
      </c>
      <c r="X69" s="4">
        <f>IF(N68&gt;0,N68*($J$12/100/12),0)</f>
      </c>
      <c r="Y69" s="4">
        <f>IF(O68&gt;0,O68*($J$13/100/12),0)</f>
      </c>
      <c r="Z69" s="4">
        <f>IF(P68&gt;0,P68*($J$14/100/12),0)</f>
      </c>
      <c r="AA69" s="4">
        <f>IF(G68&lt;=0,0,MIN($K$5,(G68+Q69)))</f>
      </c>
      <c r="AB69" s="4">
        <f>IF(H68&lt;=0,0,MIN($K$6,(H68+R69)))</f>
      </c>
      <c r="AC69" s="4">
        <f>IF(I68&lt;=0,0,MIN($K$7,(I68+S69)))</f>
      </c>
      <c r="AD69" s="4">
        <f>IF(J68&lt;=0,0,MIN($K$8,(J68+T69)))</f>
      </c>
      <c r="AE69" s="4">
        <f>IF(K68&lt;=0,0,MIN($K$9,(K68+U69)))</f>
      </c>
      <c r="AF69" s="4">
        <f>IF(L68&lt;=0,0,MIN($K$10,(L68+V69)))</f>
      </c>
      <c r="AG69" s="4">
        <f>IF(M68&lt;=0,0,MIN($K$11,(M68+W69)))</f>
      </c>
      <c r="AH69" s="4">
        <f>IF(N68&lt;=0,0,MIN($K$12,(N68+X69)))</f>
      </c>
      <c r="AI69" s="4">
        <f>IF(O68&lt;=0,0,MIN($K$13,(O68+Y69)))</f>
      </c>
      <c r="AJ69" s="4">
        <f>IF(P68&lt;=0,0,MIN($K$14,(P68+Z69)))</f>
      </c>
      <c r="AK69" s="4">
        <f>(G68+Q69)-AA69</f>
      </c>
      <c r="AL69" s="4">
        <f>(H68+R69)-AB69</f>
      </c>
      <c r="AM69" s="4">
        <f>(I68+S69)-AC69</f>
      </c>
      <c r="AN69" s="4">
        <f>(J68+T69)-AD69</f>
      </c>
      <c r="AO69" s="4">
        <f>(K68+U69)-AE69</f>
      </c>
      <c r="AP69" s="4">
        <f>(L68+V69)-AF69</f>
      </c>
      <c r="AQ69" s="4">
        <f>(M68+W69)-AG69</f>
      </c>
      <c r="AR69" s="4">
        <f>(N68+X69)-AH69</f>
      </c>
      <c r="AS69" s="4">
        <f>(O68+Y69)-AI69</f>
      </c>
      <c r="AT69" s="4">
        <f>(P68+Z69)-AJ69</f>
      </c>
      <c r="AU69" s="4">
        <f>$B$16+SUM($K$5:$K$14)-SUM(AA69:AJ69)</f>
      </c>
      <c r="AV69" s="4">
        <f>AU69-BE69</f>
      </c>
      <c r="AW69" s="4">
        <f>AV69-BF69</f>
      </c>
      <c r="AX69" s="4">
        <f>AW69-BG69</f>
      </c>
      <c r="AY69" s="4">
        <f>AX69-BH69</f>
      </c>
      <c r="AZ69" s="4">
        <f>AY69-BI69</f>
      </c>
      <c r="BA69" s="4">
        <f>AZ69-BJ69</f>
      </c>
      <c r="BB69" s="4">
        <f>BA69-BK69</f>
      </c>
      <c r="BC69" s="4">
        <f>BB69-BL69</f>
      </c>
      <c r="BD69" s="4">
        <f>BC69-BM69</f>
      </c>
      <c r="BE69" s="4">
        <f>IF(G68&lt;=0,0,MIN(AU69,AK69))</f>
      </c>
      <c r="BF69" s="4">
        <f>IF(H68&lt;=0,0,MIN(AV69,AL69))</f>
      </c>
      <c r="BG69" s="4">
        <f>IF(I68&lt;=0,0,MIN(AW69,AM69))</f>
      </c>
      <c r="BH69" s="4">
        <f>IF(J68&lt;=0,0,MIN(AX69,AN69))</f>
      </c>
      <c r="BI69" s="4">
        <f>IF(K68&lt;=0,0,MIN(AY69,AO69))</f>
      </c>
      <c r="BJ69" s="4">
        <f>IF(L68&lt;=0,0,MIN(AZ69,AP69))</f>
      </c>
      <c r="BK69" s="4">
        <f>IF(M68&lt;=0,0,MIN(BA69,AQ69))</f>
      </c>
      <c r="BL69" s="4">
        <f>IF(N68&lt;=0,0,MIN(BB69,AR69))</f>
      </c>
      <c r="BM69" s="4">
        <f>IF(O68&lt;=0,0,MIN(BC69,AS69))</f>
      </c>
      <c r="BN69" s="4">
        <f>IF(P68&lt;=0,0,MIN(BD69,AT69))</f>
      </c>
    </row>
    <row r="70" spans="1:66" x14ac:dyDescent="0.25">
      <c r="A70">
        <v>43</v>
      </c>
      <c r="B70" s="7">
        <f>EDATE($B$17,43)</f>
      </c>
      <c r="C70" s="4">
        <f>SUM(G70:P70)</f>
      </c>
      <c r="D70" s="4">
        <f>SUM(Q70:Z70)</f>
      </c>
      <c r="E70" s="4">
        <f>SUM(AA70:AJ70)+SUM(BE70:BN70)</f>
      </c>
      <c r="G70" s="4">
        <f>MAX(0,AK70-BE70)</f>
      </c>
      <c r="H70" s="4">
        <f>MAX(0,AL70-BF70)</f>
      </c>
      <c r="I70" s="4">
        <f>MAX(0,AM70-BG70)</f>
      </c>
      <c r="J70" s="4">
        <f>MAX(0,AN70-BH70)</f>
      </c>
      <c r="K70" s="4">
        <f>MAX(0,AO70-BI70)</f>
      </c>
      <c r="L70" s="4">
        <f>MAX(0,AP70-BJ70)</f>
      </c>
      <c r="M70" s="4">
        <f>MAX(0,AQ70-BK70)</f>
      </c>
      <c r="N70" s="4">
        <f>MAX(0,AR70-BL70)</f>
      </c>
      <c r="O70" s="4">
        <f>MAX(0,AS70-BM70)</f>
      </c>
      <c r="P70" s="4">
        <f>MAX(0,AT70-BN70)</f>
      </c>
      <c r="Q70" s="4">
        <f>IF(G69&gt;0,G69*($J$5/100/12),0)</f>
      </c>
      <c r="R70" s="4">
        <f>IF(H69&gt;0,H69*($J$6/100/12),0)</f>
      </c>
      <c r="S70" s="4">
        <f>IF(I69&gt;0,I69*($J$7/100/12),0)</f>
      </c>
      <c r="T70" s="4">
        <f>IF(J69&gt;0,J69*($J$8/100/12),0)</f>
      </c>
      <c r="U70" s="4">
        <f>IF(K69&gt;0,K69*($J$9/100/12),0)</f>
      </c>
      <c r="V70" s="4">
        <f>IF(L69&gt;0,L69*($J$10/100/12),0)</f>
      </c>
      <c r="W70" s="4">
        <f>IF(M69&gt;0,M69*($J$11/100/12),0)</f>
      </c>
      <c r="X70" s="4">
        <f>IF(N69&gt;0,N69*($J$12/100/12),0)</f>
      </c>
      <c r="Y70" s="4">
        <f>IF(O69&gt;0,O69*($J$13/100/12),0)</f>
      </c>
      <c r="Z70" s="4">
        <f>IF(P69&gt;0,P69*($J$14/100/12),0)</f>
      </c>
      <c r="AA70" s="4">
        <f>IF(G69&lt;=0,0,MIN($K$5,(G69+Q70)))</f>
      </c>
      <c r="AB70" s="4">
        <f>IF(H69&lt;=0,0,MIN($K$6,(H69+R70)))</f>
      </c>
      <c r="AC70" s="4">
        <f>IF(I69&lt;=0,0,MIN($K$7,(I69+S70)))</f>
      </c>
      <c r="AD70" s="4">
        <f>IF(J69&lt;=0,0,MIN($K$8,(J69+T70)))</f>
      </c>
      <c r="AE70" s="4">
        <f>IF(K69&lt;=0,0,MIN($K$9,(K69+U70)))</f>
      </c>
      <c r="AF70" s="4">
        <f>IF(L69&lt;=0,0,MIN($K$10,(L69+V70)))</f>
      </c>
      <c r="AG70" s="4">
        <f>IF(M69&lt;=0,0,MIN($K$11,(M69+W70)))</f>
      </c>
      <c r="AH70" s="4">
        <f>IF(N69&lt;=0,0,MIN($K$12,(N69+X70)))</f>
      </c>
      <c r="AI70" s="4">
        <f>IF(O69&lt;=0,0,MIN($K$13,(O69+Y70)))</f>
      </c>
      <c r="AJ70" s="4">
        <f>IF(P69&lt;=0,0,MIN($K$14,(P69+Z70)))</f>
      </c>
      <c r="AK70" s="4">
        <f>(G69+Q70)-AA70</f>
      </c>
      <c r="AL70" s="4">
        <f>(H69+R70)-AB70</f>
      </c>
      <c r="AM70" s="4">
        <f>(I69+S70)-AC70</f>
      </c>
      <c r="AN70" s="4">
        <f>(J69+T70)-AD70</f>
      </c>
      <c r="AO70" s="4">
        <f>(K69+U70)-AE70</f>
      </c>
      <c r="AP70" s="4">
        <f>(L69+V70)-AF70</f>
      </c>
      <c r="AQ70" s="4">
        <f>(M69+W70)-AG70</f>
      </c>
      <c r="AR70" s="4">
        <f>(N69+X70)-AH70</f>
      </c>
      <c r="AS70" s="4">
        <f>(O69+Y70)-AI70</f>
      </c>
      <c r="AT70" s="4">
        <f>(P69+Z70)-AJ70</f>
      </c>
      <c r="AU70" s="4">
        <f>$B$16+SUM($K$5:$K$14)-SUM(AA70:AJ70)</f>
      </c>
      <c r="AV70" s="4">
        <f>AU70-BE70</f>
      </c>
      <c r="AW70" s="4">
        <f>AV70-BF70</f>
      </c>
      <c r="AX70" s="4">
        <f>AW70-BG70</f>
      </c>
      <c r="AY70" s="4">
        <f>AX70-BH70</f>
      </c>
      <c r="AZ70" s="4">
        <f>AY70-BI70</f>
      </c>
      <c r="BA70" s="4">
        <f>AZ70-BJ70</f>
      </c>
      <c r="BB70" s="4">
        <f>BA70-BK70</f>
      </c>
      <c r="BC70" s="4">
        <f>BB70-BL70</f>
      </c>
      <c r="BD70" s="4">
        <f>BC70-BM70</f>
      </c>
      <c r="BE70" s="4">
        <f>IF(G69&lt;=0,0,MIN(AU70,AK70))</f>
      </c>
      <c r="BF70" s="4">
        <f>IF(H69&lt;=0,0,MIN(AV70,AL70))</f>
      </c>
      <c r="BG70" s="4">
        <f>IF(I69&lt;=0,0,MIN(AW70,AM70))</f>
      </c>
      <c r="BH70" s="4">
        <f>IF(J69&lt;=0,0,MIN(AX70,AN70))</f>
      </c>
      <c r="BI70" s="4">
        <f>IF(K69&lt;=0,0,MIN(AY70,AO70))</f>
      </c>
      <c r="BJ70" s="4">
        <f>IF(L69&lt;=0,0,MIN(AZ70,AP70))</f>
      </c>
      <c r="BK70" s="4">
        <f>IF(M69&lt;=0,0,MIN(BA70,AQ70))</f>
      </c>
      <c r="BL70" s="4">
        <f>IF(N69&lt;=0,0,MIN(BB70,AR70))</f>
      </c>
      <c r="BM70" s="4">
        <f>IF(O69&lt;=0,0,MIN(BC70,AS70))</f>
      </c>
      <c r="BN70" s="4">
        <f>IF(P69&lt;=0,0,MIN(BD70,AT70))</f>
      </c>
    </row>
    <row r="71" spans="1:66" x14ac:dyDescent="0.25">
      <c r="A71">
        <v>44</v>
      </c>
      <c r="B71" s="7">
        <f>EDATE($B$17,44)</f>
      </c>
      <c r="C71" s="4">
        <f>SUM(G71:P71)</f>
      </c>
      <c r="D71" s="4">
        <f>SUM(Q71:Z71)</f>
      </c>
      <c r="E71" s="4">
        <f>SUM(AA71:AJ71)+SUM(BE71:BN71)</f>
      </c>
      <c r="G71" s="4">
        <f>MAX(0,AK71-BE71)</f>
      </c>
      <c r="H71" s="4">
        <f>MAX(0,AL71-BF71)</f>
      </c>
      <c r="I71" s="4">
        <f>MAX(0,AM71-BG71)</f>
      </c>
      <c r="J71" s="4">
        <f>MAX(0,AN71-BH71)</f>
      </c>
      <c r="K71" s="4">
        <f>MAX(0,AO71-BI71)</f>
      </c>
      <c r="L71" s="4">
        <f>MAX(0,AP71-BJ71)</f>
      </c>
      <c r="M71" s="4">
        <f>MAX(0,AQ71-BK71)</f>
      </c>
      <c r="N71" s="4">
        <f>MAX(0,AR71-BL71)</f>
      </c>
      <c r="O71" s="4">
        <f>MAX(0,AS71-BM71)</f>
      </c>
      <c r="P71" s="4">
        <f>MAX(0,AT71-BN71)</f>
      </c>
      <c r="Q71" s="4">
        <f>IF(G70&gt;0,G70*($J$5/100/12),0)</f>
      </c>
      <c r="R71" s="4">
        <f>IF(H70&gt;0,H70*($J$6/100/12),0)</f>
      </c>
      <c r="S71" s="4">
        <f>IF(I70&gt;0,I70*($J$7/100/12),0)</f>
      </c>
      <c r="T71" s="4">
        <f>IF(J70&gt;0,J70*($J$8/100/12),0)</f>
      </c>
      <c r="U71" s="4">
        <f>IF(K70&gt;0,K70*($J$9/100/12),0)</f>
      </c>
      <c r="V71" s="4">
        <f>IF(L70&gt;0,L70*($J$10/100/12),0)</f>
      </c>
      <c r="W71" s="4">
        <f>IF(M70&gt;0,M70*($J$11/100/12),0)</f>
      </c>
      <c r="X71" s="4">
        <f>IF(N70&gt;0,N70*($J$12/100/12),0)</f>
      </c>
      <c r="Y71" s="4">
        <f>IF(O70&gt;0,O70*($J$13/100/12),0)</f>
      </c>
      <c r="Z71" s="4">
        <f>IF(P70&gt;0,P70*($J$14/100/12),0)</f>
      </c>
      <c r="AA71" s="4">
        <f>IF(G70&lt;=0,0,MIN($K$5,(G70+Q71)))</f>
      </c>
      <c r="AB71" s="4">
        <f>IF(H70&lt;=0,0,MIN($K$6,(H70+R71)))</f>
      </c>
      <c r="AC71" s="4">
        <f>IF(I70&lt;=0,0,MIN($K$7,(I70+S71)))</f>
      </c>
      <c r="AD71" s="4">
        <f>IF(J70&lt;=0,0,MIN($K$8,(J70+T71)))</f>
      </c>
      <c r="AE71" s="4">
        <f>IF(K70&lt;=0,0,MIN($K$9,(K70+U71)))</f>
      </c>
      <c r="AF71" s="4">
        <f>IF(L70&lt;=0,0,MIN($K$10,(L70+V71)))</f>
      </c>
      <c r="AG71" s="4">
        <f>IF(M70&lt;=0,0,MIN($K$11,(M70+W71)))</f>
      </c>
      <c r="AH71" s="4">
        <f>IF(N70&lt;=0,0,MIN($K$12,(N70+X71)))</f>
      </c>
      <c r="AI71" s="4">
        <f>IF(O70&lt;=0,0,MIN($K$13,(O70+Y71)))</f>
      </c>
      <c r="AJ71" s="4">
        <f>IF(P70&lt;=0,0,MIN($K$14,(P70+Z71)))</f>
      </c>
      <c r="AK71" s="4">
        <f>(G70+Q71)-AA71</f>
      </c>
      <c r="AL71" s="4">
        <f>(H70+R71)-AB71</f>
      </c>
      <c r="AM71" s="4">
        <f>(I70+S71)-AC71</f>
      </c>
      <c r="AN71" s="4">
        <f>(J70+T71)-AD71</f>
      </c>
      <c r="AO71" s="4">
        <f>(K70+U71)-AE71</f>
      </c>
      <c r="AP71" s="4">
        <f>(L70+V71)-AF71</f>
      </c>
      <c r="AQ71" s="4">
        <f>(M70+W71)-AG71</f>
      </c>
      <c r="AR71" s="4">
        <f>(N70+X71)-AH71</f>
      </c>
      <c r="AS71" s="4">
        <f>(O70+Y71)-AI71</f>
      </c>
      <c r="AT71" s="4">
        <f>(P70+Z71)-AJ71</f>
      </c>
      <c r="AU71" s="4">
        <f>$B$16+SUM($K$5:$K$14)-SUM(AA71:AJ71)</f>
      </c>
      <c r="AV71" s="4">
        <f>AU71-BE71</f>
      </c>
      <c r="AW71" s="4">
        <f>AV71-BF71</f>
      </c>
      <c r="AX71" s="4">
        <f>AW71-BG71</f>
      </c>
      <c r="AY71" s="4">
        <f>AX71-BH71</f>
      </c>
      <c r="AZ71" s="4">
        <f>AY71-BI71</f>
      </c>
      <c r="BA71" s="4">
        <f>AZ71-BJ71</f>
      </c>
      <c r="BB71" s="4">
        <f>BA71-BK71</f>
      </c>
      <c r="BC71" s="4">
        <f>BB71-BL71</f>
      </c>
      <c r="BD71" s="4">
        <f>BC71-BM71</f>
      </c>
      <c r="BE71" s="4">
        <f>IF(G70&lt;=0,0,MIN(AU71,AK71))</f>
      </c>
      <c r="BF71" s="4">
        <f>IF(H70&lt;=0,0,MIN(AV71,AL71))</f>
      </c>
      <c r="BG71" s="4">
        <f>IF(I70&lt;=0,0,MIN(AW71,AM71))</f>
      </c>
      <c r="BH71" s="4">
        <f>IF(J70&lt;=0,0,MIN(AX71,AN71))</f>
      </c>
      <c r="BI71" s="4">
        <f>IF(K70&lt;=0,0,MIN(AY71,AO71))</f>
      </c>
      <c r="BJ71" s="4">
        <f>IF(L70&lt;=0,0,MIN(AZ71,AP71))</f>
      </c>
      <c r="BK71" s="4">
        <f>IF(M70&lt;=0,0,MIN(BA71,AQ71))</f>
      </c>
      <c r="BL71" s="4">
        <f>IF(N70&lt;=0,0,MIN(BB71,AR71))</f>
      </c>
      <c r="BM71" s="4">
        <f>IF(O70&lt;=0,0,MIN(BC71,AS71))</f>
      </c>
      <c r="BN71" s="4">
        <f>IF(P70&lt;=0,0,MIN(BD71,AT71))</f>
      </c>
    </row>
    <row r="72" spans="1:66" x14ac:dyDescent="0.25">
      <c r="A72">
        <v>45</v>
      </c>
      <c r="B72" s="7">
        <f>EDATE($B$17,45)</f>
      </c>
      <c r="C72" s="4">
        <f>SUM(G72:P72)</f>
      </c>
      <c r="D72" s="4">
        <f>SUM(Q72:Z72)</f>
      </c>
      <c r="E72" s="4">
        <f>SUM(AA72:AJ72)+SUM(BE72:BN72)</f>
      </c>
      <c r="G72" s="4">
        <f>MAX(0,AK72-BE72)</f>
      </c>
      <c r="H72" s="4">
        <f>MAX(0,AL72-BF72)</f>
      </c>
      <c r="I72" s="4">
        <f>MAX(0,AM72-BG72)</f>
      </c>
      <c r="J72" s="4">
        <f>MAX(0,AN72-BH72)</f>
      </c>
      <c r="K72" s="4">
        <f>MAX(0,AO72-BI72)</f>
      </c>
      <c r="L72" s="4">
        <f>MAX(0,AP72-BJ72)</f>
      </c>
      <c r="M72" s="4">
        <f>MAX(0,AQ72-BK72)</f>
      </c>
      <c r="N72" s="4">
        <f>MAX(0,AR72-BL72)</f>
      </c>
      <c r="O72" s="4">
        <f>MAX(0,AS72-BM72)</f>
      </c>
      <c r="P72" s="4">
        <f>MAX(0,AT72-BN72)</f>
      </c>
      <c r="Q72" s="4">
        <f>IF(G71&gt;0,G71*($J$5/100/12),0)</f>
      </c>
      <c r="R72" s="4">
        <f>IF(H71&gt;0,H71*($J$6/100/12),0)</f>
      </c>
      <c r="S72" s="4">
        <f>IF(I71&gt;0,I71*($J$7/100/12),0)</f>
      </c>
      <c r="T72" s="4">
        <f>IF(J71&gt;0,J71*($J$8/100/12),0)</f>
      </c>
      <c r="U72" s="4">
        <f>IF(K71&gt;0,K71*($J$9/100/12),0)</f>
      </c>
      <c r="V72" s="4">
        <f>IF(L71&gt;0,L71*($J$10/100/12),0)</f>
      </c>
      <c r="W72" s="4">
        <f>IF(M71&gt;0,M71*($J$11/100/12),0)</f>
      </c>
      <c r="X72" s="4">
        <f>IF(N71&gt;0,N71*($J$12/100/12),0)</f>
      </c>
      <c r="Y72" s="4">
        <f>IF(O71&gt;0,O71*($J$13/100/12),0)</f>
      </c>
      <c r="Z72" s="4">
        <f>IF(P71&gt;0,P71*($J$14/100/12),0)</f>
      </c>
      <c r="AA72" s="4">
        <f>IF(G71&lt;=0,0,MIN($K$5,(G71+Q72)))</f>
      </c>
      <c r="AB72" s="4">
        <f>IF(H71&lt;=0,0,MIN($K$6,(H71+R72)))</f>
      </c>
      <c r="AC72" s="4">
        <f>IF(I71&lt;=0,0,MIN($K$7,(I71+S72)))</f>
      </c>
      <c r="AD72" s="4">
        <f>IF(J71&lt;=0,0,MIN($K$8,(J71+T72)))</f>
      </c>
      <c r="AE72" s="4">
        <f>IF(K71&lt;=0,0,MIN($K$9,(K71+U72)))</f>
      </c>
      <c r="AF72" s="4">
        <f>IF(L71&lt;=0,0,MIN($K$10,(L71+V72)))</f>
      </c>
      <c r="AG72" s="4">
        <f>IF(M71&lt;=0,0,MIN($K$11,(M71+W72)))</f>
      </c>
      <c r="AH72" s="4">
        <f>IF(N71&lt;=0,0,MIN($K$12,(N71+X72)))</f>
      </c>
      <c r="AI72" s="4">
        <f>IF(O71&lt;=0,0,MIN($K$13,(O71+Y72)))</f>
      </c>
      <c r="AJ72" s="4">
        <f>IF(P71&lt;=0,0,MIN($K$14,(P71+Z72)))</f>
      </c>
      <c r="AK72" s="4">
        <f>(G71+Q72)-AA72</f>
      </c>
      <c r="AL72" s="4">
        <f>(H71+R72)-AB72</f>
      </c>
      <c r="AM72" s="4">
        <f>(I71+S72)-AC72</f>
      </c>
      <c r="AN72" s="4">
        <f>(J71+T72)-AD72</f>
      </c>
      <c r="AO72" s="4">
        <f>(K71+U72)-AE72</f>
      </c>
      <c r="AP72" s="4">
        <f>(L71+V72)-AF72</f>
      </c>
      <c r="AQ72" s="4">
        <f>(M71+W72)-AG72</f>
      </c>
      <c r="AR72" s="4">
        <f>(N71+X72)-AH72</f>
      </c>
      <c r="AS72" s="4">
        <f>(O71+Y72)-AI72</f>
      </c>
      <c r="AT72" s="4">
        <f>(P71+Z72)-AJ72</f>
      </c>
      <c r="AU72" s="4">
        <f>$B$16+SUM($K$5:$K$14)-SUM(AA72:AJ72)</f>
      </c>
      <c r="AV72" s="4">
        <f>AU72-BE72</f>
      </c>
      <c r="AW72" s="4">
        <f>AV72-BF72</f>
      </c>
      <c r="AX72" s="4">
        <f>AW72-BG72</f>
      </c>
      <c r="AY72" s="4">
        <f>AX72-BH72</f>
      </c>
      <c r="AZ72" s="4">
        <f>AY72-BI72</f>
      </c>
      <c r="BA72" s="4">
        <f>AZ72-BJ72</f>
      </c>
      <c r="BB72" s="4">
        <f>BA72-BK72</f>
      </c>
      <c r="BC72" s="4">
        <f>BB72-BL72</f>
      </c>
      <c r="BD72" s="4">
        <f>BC72-BM72</f>
      </c>
      <c r="BE72" s="4">
        <f>IF(G71&lt;=0,0,MIN(AU72,AK72))</f>
      </c>
      <c r="BF72" s="4">
        <f>IF(H71&lt;=0,0,MIN(AV72,AL72))</f>
      </c>
      <c r="BG72" s="4">
        <f>IF(I71&lt;=0,0,MIN(AW72,AM72))</f>
      </c>
      <c r="BH72" s="4">
        <f>IF(J71&lt;=0,0,MIN(AX72,AN72))</f>
      </c>
      <c r="BI72" s="4">
        <f>IF(K71&lt;=0,0,MIN(AY72,AO72))</f>
      </c>
      <c r="BJ72" s="4">
        <f>IF(L71&lt;=0,0,MIN(AZ72,AP72))</f>
      </c>
      <c r="BK72" s="4">
        <f>IF(M71&lt;=0,0,MIN(BA72,AQ72))</f>
      </c>
      <c r="BL72" s="4">
        <f>IF(N71&lt;=0,0,MIN(BB72,AR72))</f>
      </c>
      <c r="BM72" s="4">
        <f>IF(O71&lt;=0,0,MIN(BC72,AS72))</f>
      </c>
      <c r="BN72" s="4">
        <f>IF(P71&lt;=0,0,MIN(BD72,AT72))</f>
      </c>
    </row>
    <row r="73" spans="1:66" x14ac:dyDescent="0.25">
      <c r="A73">
        <v>46</v>
      </c>
      <c r="B73" s="7">
        <f>EDATE($B$17,46)</f>
      </c>
      <c r="C73" s="4">
        <f>SUM(G73:P73)</f>
      </c>
      <c r="D73" s="4">
        <f>SUM(Q73:Z73)</f>
      </c>
      <c r="E73" s="4">
        <f>SUM(AA73:AJ73)+SUM(BE73:BN73)</f>
      </c>
      <c r="G73" s="4">
        <f>MAX(0,AK73-BE73)</f>
      </c>
      <c r="H73" s="4">
        <f>MAX(0,AL73-BF73)</f>
      </c>
      <c r="I73" s="4">
        <f>MAX(0,AM73-BG73)</f>
      </c>
      <c r="J73" s="4">
        <f>MAX(0,AN73-BH73)</f>
      </c>
      <c r="K73" s="4">
        <f>MAX(0,AO73-BI73)</f>
      </c>
      <c r="L73" s="4">
        <f>MAX(0,AP73-BJ73)</f>
      </c>
      <c r="M73" s="4">
        <f>MAX(0,AQ73-BK73)</f>
      </c>
      <c r="N73" s="4">
        <f>MAX(0,AR73-BL73)</f>
      </c>
      <c r="O73" s="4">
        <f>MAX(0,AS73-BM73)</f>
      </c>
      <c r="P73" s="4">
        <f>MAX(0,AT73-BN73)</f>
      </c>
      <c r="Q73" s="4">
        <f>IF(G72&gt;0,G72*($J$5/100/12),0)</f>
      </c>
      <c r="R73" s="4">
        <f>IF(H72&gt;0,H72*($J$6/100/12),0)</f>
      </c>
      <c r="S73" s="4">
        <f>IF(I72&gt;0,I72*($J$7/100/12),0)</f>
      </c>
      <c r="T73" s="4">
        <f>IF(J72&gt;0,J72*($J$8/100/12),0)</f>
      </c>
      <c r="U73" s="4">
        <f>IF(K72&gt;0,K72*($J$9/100/12),0)</f>
      </c>
      <c r="V73" s="4">
        <f>IF(L72&gt;0,L72*($J$10/100/12),0)</f>
      </c>
      <c r="W73" s="4">
        <f>IF(M72&gt;0,M72*($J$11/100/12),0)</f>
      </c>
      <c r="X73" s="4">
        <f>IF(N72&gt;0,N72*($J$12/100/12),0)</f>
      </c>
      <c r="Y73" s="4">
        <f>IF(O72&gt;0,O72*($J$13/100/12),0)</f>
      </c>
      <c r="Z73" s="4">
        <f>IF(P72&gt;0,P72*($J$14/100/12),0)</f>
      </c>
      <c r="AA73" s="4">
        <f>IF(G72&lt;=0,0,MIN($K$5,(G72+Q73)))</f>
      </c>
      <c r="AB73" s="4">
        <f>IF(H72&lt;=0,0,MIN($K$6,(H72+R73)))</f>
      </c>
      <c r="AC73" s="4">
        <f>IF(I72&lt;=0,0,MIN($K$7,(I72+S73)))</f>
      </c>
      <c r="AD73" s="4">
        <f>IF(J72&lt;=0,0,MIN($K$8,(J72+T73)))</f>
      </c>
      <c r="AE73" s="4">
        <f>IF(K72&lt;=0,0,MIN($K$9,(K72+U73)))</f>
      </c>
      <c r="AF73" s="4">
        <f>IF(L72&lt;=0,0,MIN($K$10,(L72+V73)))</f>
      </c>
      <c r="AG73" s="4">
        <f>IF(M72&lt;=0,0,MIN($K$11,(M72+W73)))</f>
      </c>
      <c r="AH73" s="4">
        <f>IF(N72&lt;=0,0,MIN($K$12,(N72+X73)))</f>
      </c>
      <c r="AI73" s="4">
        <f>IF(O72&lt;=0,0,MIN($K$13,(O72+Y73)))</f>
      </c>
      <c r="AJ73" s="4">
        <f>IF(P72&lt;=0,0,MIN($K$14,(P72+Z73)))</f>
      </c>
      <c r="AK73" s="4">
        <f>(G72+Q73)-AA73</f>
      </c>
      <c r="AL73" s="4">
        <f>(H72+R73)-AB73</f>
      </c>
      <c r="AM73" s="4">
        <f>(I72+S73)-AC73</f>
      </c>
      <c r="AN73" s="4">
        <f>(J72+T73)-AD73</f>
      </c>
      <c r="AO73" s="4">
        <f>(K72+U73)-AE73</f>
      </c>
      <c r="AP73" s="4">
        <f>(L72+V73)-AF73</f>
      </c>
      <c r="AQ73" s="4">
        <f>(M72+W73)-AG73</f>
      </c>
      <c r="AR73" s="4">
        <f>(N72+X73)-AH73</f>
      </c>
      <c r="AS73" s="4">
        <f>(O72+Y73)-AI73</f>
      </c>
      <c r="AT73" s="4">
        <f>(P72+Z73)-AJ73</f>
      </c>
      <c r="AU73" s="4">
        <f>$B$16+SUM($K$5:$K$14)-SUM(AA73:AJ73)</f>
      </c>
      <c r="AV73" s="4">
        <f>AU73-BE73</f>
      </c>
      <c r="AW73" s="4">
        <f>AV73-BF73</f>
      </c>
      <c r="AX73" s="4">
        <f>AW73-BG73</f>
      </c>
      <c r="AY73" s="4">
        <f>AX73-BH73</f>
      </c>
      <c r="AZ73" s="4">
        <f>AY73-BI73</f>
      </c>
      <c r="BA73" s="4">
        <f>AZ73-BJ73</f>
      </c>
      <c r="BB73" s="4">
        <f>BA73-BK73</f>
      </c>
      <c r="BC73" s="4">
        <f>BB73-BL73</f>
      </c>
      <c r="BD73" s="4">
        <f>BC73-BM73</f>
      </c>
      <c r="BE73" s="4">
        <f>IF(G72&lt;=0,0,MIN(AU73,AK73))</f>
      </c>
      <c r="BF73" s="4">
        <f>IF(H72&lt;=0,0,MIN(AV73,AL73))</f>
      </c>
      <c r="BG73" s="4">
        <f>IF(I72&lt;=0,0,MIN(AW73,AM73))</f>
      </c>
      <c r="BH73" s="4">
        <f>IF(J72&lt;=0,0,MIN(AX73,AN73))</f>
      </c>
      <c r="BI73" s="4">
        <f>IF(K72&lt;=0,0,MIN(AY73,AO73))</f>
      </c>
      <c r="BJ73" s="4">
        <f>IF(L72&lt;=0,0,MIN(AZ73,AP73))</f>
      </c>
      <c r="BK73" s="4">
        <f>IF(M72&lt;=0,0,MIN(BA73,AQ73))</f>
      </c>
      <c r="BL73" s="4">
        <f>IF(N72&lt;=0,0,MIN(BB73,AR73))</f>
      </c>
      <c r="BM73" s="4">
        <f>IF(O72&lt;=0,0,MIN(BC73,AS73))</f>
      </c>
      <c r="BN73" s="4">
        <f>IF(P72&lt;=0,0,MIN(BD73,AT73))</f>
      </c>
    </row>
    <row r="74" spans="1:66" x14ac:dyDescent="0.25">
      <c r="A74">
        <v>47</v>
      </c>
      <c r="B74" s="7">
        <f>EDATE($B$17,47)</f>
      </c>
      <c r="C74" s="4">
        <f>SUM(G74:P74)</f>
      </c>
      <c r="D74" s="4">
        <f>SUM(Q74:Z74)</f>
      </c>
      <c r="E74" s="4">
        <f>SUM(AA74:AJ74)+SUM(BE74:BN74)</f>
      </c>
      <c r="G74" s="4">
        <f>MAX(0,AK74-BE74)</f>
      </c>
      <c r="H74" s="4">
        <f>MAX(0,AL74-BF74)</f>
      </c>
      <c r="I74" s="4">
        <f>MAX(0,AM74-BG74)</f>
      </c>
      <c r="J74" s="4">
        <f>MAX(0,AN74-BH74)</f>
      </c>
      <c r="K74" s="4">
        <f>MAX(0,AO74-BI74)</f>
      </c>
      <c r="L74" s="4">
        <f>MAX(0,AP74-BJ74)</f>
      </c>
      <c r="M74" s="4">
        <f>MAX(0,AQ74-BK74)</f>
      </c>
      <c r="N74" s="4">
        <f>MAX(0,AR74-BL74)</f>
      </c>
      <c r="O74" s="4">
        <f>MAX(0,AS74-BM74)</f>
      </c>
      <c r="P74" s="4">
        <f>MAX(0,AT74-BN74)</f>
      </c>
      <c r="Q74" s="4">
        <f>IF(G73&gt;0,G73*($J$5/100/12),0)</f>
      </c>
      <c r="R74" s="4">
        <f>IF(H73&gt;0,H73*($J$6/100/12),0)</f>
      </c>
      <c r="S74" s="4">
        <f>IF(I73&gt;0,I73*($J$7/100/12),0)</f>
      </c>
      <c r="T74" s="4">
        <f>IF(J73&gt;0,J73*($J$8/100/12),0)</f>
      </c>
      <c r="U74" s="4">
        <f>IF(K73&gt;0,K73*($J$9/100/12),0)</f>
      </c>
      <c r="V74" s="4">
        <f>IF(L73&gt;0,L73*($J$10/100/12),0)</f>
      </c>
      <c r="W74" s="4">
        <f>IF(M73&gt;0,M73*($J$11/100/12),0)</f>
      </c>
      <c r="X74" s="4">
        <f>IF(N73&gt;0,N73*($J$12/100/12),0)</f>
      </c>
      <c r="Y74" s="4">
        <f>IF(O73&gt;0,O73*($J$13/100/12),0)</f>
      </c>
      <c r="Z74" s="4">
        <f>IF(P73&gt;0,P73*($J$14/100/12),0)</f>
      </c>
      <c r="AA74" s="4">
        <f>IF(G73&lt;=0,0,MIN($K$5,(G73+Q74)))</f>
      </c>
      <c r="AB74" s="4">
        <f>IF(H73&lt;=0,0,MIN($K$6,(H73+R74)))</f>
      </c>
      <c r="AC74" s="4">
        <f>IF(I73&lt;=0,0,MIN($K$7,(I73+S74)))</f>
      </c>
      <c r="AD74" s="4">
        <f>IF(J73&lt;=0,0,MIN($K$8,(J73+T74)))</f>
      </c>
      <c r="AE74" s="4">
        <f>IF(K73&lt;=0,0,MIN($K$9,(K73+U74)))</f>
      </c>
      <c r="AF74" s="4">
        <f>IF(L73&lt;=0,0,MIN($K$10,(L73+V74)))</f>
      </c>
      <c r="AG74" s="4">
        <f>IF(M73&lt;=0,0,MIN($K$11,(M73+W74)))</f>
      </c>
      <c r="AH74" s="4">
        <f>IF(N73&lt;=0,0,MIN($K$12,(N73+X74)))</f>
      </c>
      <c r="AI74" s="4">
        <f>IF(O73&lt;=0,0,MIN($K$13,(O73+Y74)))</f>
      </c>
      <c r="AJ74" s="4">
        <f>IF(P73&lt;=0,0,MIN($K$14,(P73+Z74)))</f>
      </c>
      <c r="AK74" s="4">
        <f>(G73+Q74)-AA74</f>
      </c>
      <c r="AL74" s="4">
        <f>(H73+R74)-AB74</f>
      </c>
      <c r="AM74" s="4">
        <f>(I73+S74)-AC74</f>
      </c>
      <c r="AN74" s="4">
        <f>(J73+T74)-AD74</f>
      </c>
      <c r="AO74" s="4">
        <f>(K73+U74)-AE74</f>
      </c>
      <c r="AP74" s="4">
        <f>(L73+V74)-AF74</f>
      </c>
      <c r="AQ74" s="4">
        <f>(M73+W74)-AG74</f>
      </c>
      <c r="AR74" s="4">
        <f>(N73+X74)-AH74</f>
      </c>
      <c r="AS74" s="4">
        <f>(O73+Y74)-AI74</f>
      </c>
      <c r="AT74" s="4">
        <f>(P73+Z74)-AJ74</f>
      </c>
      <c r="AU74" s="4">
        <f>$B$16+SUM($K$5:$K$14)-SUM(AA74:AJ74)</f>
      </c>
      <c r="AV74" s="4">
        <f>AU74-BE74</f>
      </c>
      <c r="AW74" s="4">
        <f>AV74-BF74</f>
      </c>
      <c r="AX74" s="4">
        <f>AW74-BG74</f>
      </c>
      <c r="AY74" s="4">
        <f>AX74-BH74</f>
      </c>
      <c r="AZ74" s="4">
        <f>AY74-BI74</f>
      </c>
      <c r="BA74" s="4">
        <f>AZ74-BJ74</f>
      </c>
      <c r="BB74" s="4">
        <f>BA74-BK74</f>
      </c>
      <c r="BC74" s="4">
        <f>BB74-BL74</f>
      </c>
      <c r="BD74" s="4">
        <f>BC74-BM74</f>
      </c>
      <c r="BE74" s="4">
        <f>IF(G73&lt;=0,0,MIN(AU74,AK74))</f>
      </c>
      <c r="BF74" s="4">
        <f>IF(H73&lt;=0,0,MIN(AV74,AL74))</f>
      </c>
      <c r="BG74" s="4">
        <f>IF(I73&lt;=0,0,MIN(AW74,AM74))</f>
      </c>
      <c r="BH74" s="4">
        <f>IF(J73&lt;=0,0,MIN(AX74,AN74))</f>
      </c>
      <c r="BI74" s="4">
        <f>IF(K73&lt;=0,0,MIN(AY74,AO74))</f>
      </c>
      <c r="BJ74" s="4">
        <f>IF(L73&lt;=0,0,MIN(AZ74,AP74))</f>
      </c>
      <c r="BK74" s="4">
        <f>IF(M73&lt;=0,0,MIN(BA74,AQ74))</f>
      </c>
      <c r="BL74" s="4">
        <f>IF(N73&lt;=0,0,MIN(BB74,AR74))</f>
      </c>
      <c r="BM74" s="4">
        <f>IF(O73&lt;=0,0,MIN(BC74,AS74))</f>
      </c>
      <c r="BN74" s="4">
        <f>IF(P73&lt;=0,0,MIN(BD74,AT74))</f>
      </c>
    </row>
    <row r="75" spans="1:66" x14ac:dyDescent="0.25">
      <c r="A75">
        <v>48</v>
      </c>
      <c r="B75" s="7">
        <f>EDATE($B$17,48)</f>
      </c>
      <c r="C75" s="4">
        <f>SUM(G75:P75)</f>
      </c>
      <c r="D75" s="4">
        <f>SUM(Q75:Z75)</f>
      </c>
      <c r="E75" s="4">
        <f>SUM(AA75:AJ75)+SUM(BE75:BN75)</f>
      </c>
      <c r="G75" s="4">
        <f>MAX(0,AK75-BE75)</f>
      </c>
      <c r="H75" s="4">
        <f>MAX(0,AL75-BF75)</f>
      </c>
      <c r="I75" s="4">
        <f>MAX(0,AM75-BG75)</f>
      </c>
      <c r="J75" s="4">
        <f>MAX(0,AN75-BH75)</f>
      </c>
      <c r="K75" s="4">
        <f>MAX(0,AO75-BI75)</f>
      </c>
      <c r="L75" s="4">
        <f>MAX(0,AP75-BJ75)</f>
      </c>
      <c r="M75" s="4">
        <f>MAX(0,AQ75-BK75)</f>
      </c>
      <c r="N75" s="4">
        <f>MAX(0,AR75-BL75)</f>
      </c>
      <c r="O75" s="4">
        <f>MAX(0,AS75-BM75)</f>
      </c>
      <c r="P75" s="4">
        <f>MAX(0,AT75-BN75)</f>
      </c>
      <c r="Q75" s="4">
        <f>IF(G74&gt;0,G74*($J$5/100/12),0)</f>
      </c>
      <c r="R75" s="4">
        <f>IF(H74&gt;0,H74*($J$6/100/12),0)</f>
      </c>
      <c r="S75" s="4">
        <f>IF(I74&gt;0,I74*($J$7/100/12),0)</f>
      </c>
      <c r="T75" s="4">
        <f>IF(J74&gt;0,J74*($J$8/100/12),0)</f>
      </c>
      <c r="U75" s="4">
        <f>IF(K74&gt;0,K74*($J$9/100/12),0)</f>
      </c>
      <c r="V75" s="4">
        <f>IF(L74&gt;0,L74*($J$10/100/12),0)</f>
      </c>
      <c r="W75" s="4">
        <f>IF(M74&gt;0,M74*($J$11/100/12),0)</f>
      </c>
      <c r="X75" s="4">
        <f>IF(N74&gt;0,N74*($J$12/100/12),0)</f>
      </c>
      <c r="Y75" s="4">
        <f>IF(O74&gt;0,O74*($J$13/100/12),0)</f>
      </c>
      <c r="Z75" s="4">
        <f>IF(P74&gt;0,P74*($J$14/100/12),0)</f>
      </c>
      <c r="AA75" s="4">
        <f>IF(G74&lt;=0,0,MIN($K$5,(G74+Q75)))</f>
      </c>
      <c r="AB75" s="4">
        <f>IF(H74&lt;=0,0,MIN($K$6,(H74+R75)))</f>
      </c>
      <c r="AC75" s="4">
        <f>IF(I74&lt;=0,0,MIN($K$7,(I74+S75)))</f>
      </c>
      <c r="AD75" s="4">
        <f>IF(J74&lt;=0,0,MIN($K$8,(J74+T75)))</f>
      </c>
      <c r="AE75" s="4">
        <f>IF(K74&lt;=0,0,MIN($K$9,(K74+U75)))</f>
      </c>
      <c r="AF75" s="4">
        <f>IF(L74&lt;=0,0,MIN($K$10,(L74+V75)))</f>
      </c>
      <c r="AG75" s="4">
        <f>IF(M74&lt;=0,0,MIN($K$11,(M74+W75)))</f>
      </c>
      <c r="AH75" s="4">
        <f>IF(N74&lt;=0,0,MIN($K$12,(N74+X75)))</f>
      </c>
      <c r="AI75" s="4">
        <f>IF(O74&lt;=0,0,MIN($K$13,(O74+Y75)))</f>
      </c>
      <c r="AJ75" s="4">
        <f>IF(P74&lt;=0,0,MIN($K$14,(P74+Z75)))</f>
      </c>
      <c r="AK75" s="4">
        <f>(G74+Q75)-AA75</f>
      </c>
      <c r="AL75" s="4">
        <f>(H74+R75)-AB75</f>
      </c>
      <c r="AM75" s="4">
        <f>(I74+S75)-AC75</f>
      </c>
      <c r="AN75" s="4">
        <f>(J74+T75)-AD75</f>
      </c>
      <c r="AO75" s="4">
        <f>(K74+U75)-AE75</f>
      </c>
      <c r="AP75" s="4">
        <f>(L74+V75)-AF75</f>
      </c>
      <c r="AQ75" s="4">
        <f>(M74+W75)-AG75</f>
      </c>
      <c r="AR75" s="4">
        <f>(N74+X75)-AH75</f>
      </c>
      <c r="AS75" s="4">
        <f>(O74+Y75)-AI75</f>
      </c>
      <c r="AT75" s="4">
        <f>(P74+Z75)-AJ75</f>
      </c>
      <c r="AU75" s="4">
        <f>$B$16+SUM($K$5:$K$14)-SUM(AA75:AJ75)</f>
      </c>
      <c r="AV75" s="4">
        <f>AU75-BE75</f>
      </c>
      <c r="AW75" s="4">
        <f>AV75-BF75</f>
      </c>
      <c r="AX75" s="4">
        <f>AW75-BG75</f>
      </c>
      <c r="AY75" s="4">
        <f>AX75-BH75</f>
      </c>
      <c r="AZ75" s="4">
        <f>AY75-BI75</f>
      </c>
      <c r="BA75" s="4">
        <f>AZ75-BJ75</f>
      </c>
      <c r="BB75" s="4">
        <f>BA75-BK75</f>
      </c>
      <c r="BC75" s="4">
        <f>BB75-BL75</f>
      </c>
      <c r="BD75" s="4">
        <f>BC75-BM75</f>
      </c>
      <c r="BE75" s="4">
        <f>IF(G74&lt;=0,0,MIN(AU75,AK75))</f>
      </c>
      <c r="BF75" s="4">
        <f>IF(H74&lt;=0,0,MIN(AV75,AL75))</f>
      </c>
      <c r="BG75" s="4">
        <f>IF(I74&lt;=0,0,MIN(AW75,AM75))</f>
      </c>
      <c r="BH75" s="4">
        <f>IF(J74&lt;=0,0,MIN(AX75,AN75))</f>
      </c>
      <c r="BI75" s="4">
        <f>IF(K74&lt;=0,0,MIN(AY75,AO75))</f>
      </c>
      <c r="BJ75" s="4">
        <f>IF(L74&lt;=0,0,MIN(AZ75,AP75))</f>
      </c>
      <c r="BK75" s="4">
        <f>IF(M74&lt;=0,0,MIN(BA75,AQ75))</f>
      </c>
      <c r="BL75" s="4">
        <f>IF(N74&lt;=0,0,MIN(BB75,AR75))</f>
      </c>
      <c r="BM75" s="4">
        <f>IF(O74&lt;=0,0,MIN(BC75,AS75))</f>
      </c>
      <c r="BN75" s="4">
        <f>IF(P74&lt;=0,0,MIN(BD75,AT75))</f>
      </c>
    </row>
    <row r="76" spans="1:66" x14ac:dyDescent="0.25">
      <c r="A76">
        <v>49</v>
      </c>
      <c r="B76" s="7">
        <f>EDATE($B$17,49)</f>
      </c>
      <c r="C76" s="4">
        <f>SUM(G76:P76)</f>
      </c>
      <c r="D76" s="4">
        <f>SUM(Q76:Z76)</f>
      </c>
      <c r="E76" s="4">
        <f>SUM(AA76:AJ76)+SUM(BE76:BN76)</f>
      </c>
      <c r="G76" s="4">
        <f>MAX(0,AK76-BE76)</f>
      </c>
      <c r="H76" s="4">
        <f>MAX(0,AL76-BF76)</f>
      </c>
      <c r="I76" s="4">
        <f>MAX(0,AM76-BG76)</f>
      </c>
      <c r="J76" s="4">
        <f>MAX(0,AN76-BH76)</f>
      </c>
      <c r="K76" s="4">
        <f>MAX(0,AO76-BI76)</f>
      </c>
      <c r="L76" s="4">
        <f>MAX(0,AP76-BJ76)</f>
      </c>
      <c r="M76" s="4">
        <f>MAX(0,AQ76-BK76)</f>
      </c>
      <c r="N76" s="4">
        <f>MAX(0,AR76-BL76)</f>
      </c>
      <c r="O76" s="4">
        <f>MAX(0,AS76-BM76)</f>
      </c>
      <c r="P76" s="4">
        <f>MAX(0,AT76-BN76)</f>
      </c>
      <c r="Q76" s="4">
        <f>IF(G75&gt;0,G75*($J$5/100/12),0)</f>
      </c>
      <c r="R76" s="4">
        <f>IF(H75&gt;0,H75*($J$6/100/12),0)</f>
      </c>
      <c r="S76" s="4">
        <f>IF(I75&gt;0,I75*($J$7/100/12),0)</f>
      </c>
      <c r="T76" s="4">
        <f>IF(J75&gt;0,J75*($J$8/100/12),0)</f>
      </c>
      <c r="U76" s="4">
        <f>IF(K75&gt;0,K75*($J$9/100/12),0)</f>
      </c>
      <c r="V76" s="4">
        <f>IF(L75&gt;0,L75*($J$10/100/12),0)</f>
      </c>
      <c r="W76" s="4">
        <f>IF(M75&gt;0,M75*($J$11/100/12),0)</f>
      </c>
      <c r="X76" s="4">
        <f>IF(N75&gt;0,N75*($J$12/100/12),0)</f>
      </c>
      <c r="Y76" s="4">
        <f>IF(O75&gt;0,O75*($J$13/100/12),0)</f>
      </c>
      <c r="Z76" s="4">
        <f>IF(P75&gt;0,P75*($J$14/100/12),0)</f>
      </c>
      <c r="AA76" s="4">
        <f>IF(G75&lt;=0,0,MIN($K$5,(G75+Q76)))</f>
      </c>
      <c r="AB76" s="4">
        <f>IF(H75&lt;=0,0,MIN($K$6,(H75+R76)))</f>
      </c>
      <c r="AC76" s="4">
        <f>IF(I75&lt;=0,0,MIN($K$7,(I75+S76)))</f>
      </c>
      <c r="AD76" s="4">
        <f>IF(J75&lt;=0,0,MIN($K$8,(J75+T76)))</f>
      </c>
      <c r="AE76" s="4">
        <f>IF(K75&lt;=0,0,MIN($K$9,(K75+U76)))</f>
      </c>
      <c r="AF76" s="4">
        <f>IF(L75&lt;=0,0,MIN($K$10,(L75+V76)))</f>
      </c>
      <c r="AG76" s="4">
        <f>IF(M75&lt;=0,0,MIN($K$11,(M75+W76)))</f>
      </c>
      <c r="AH76" s="4">
        <f>IF(N75&lt;=0,0,MIN($K$12,(N75+X76)))</f>
      </c>
      <c r="AI76" s="4">
        <f>IF(O75&lt;=0,0,MIN($K$13,(O75+Y76)))</f>
      </c>
      <c r="AJ76" s="4">
        <f>IF(P75&lt;=0,0,MIN($K$14,(P75+Z76)))</f>
      </c>
      <c r="AK76" s="4">
        <f>(G75+Q76)-AA76</f>
      </c>
      <c r="AL76" s="4">
        <f>(H75+R76)-AB76</f>
      </c>
      <c r="AM76" s="4">
        <f>(I75+S76)-AC76</f>
      </c>
      <c r="AN76" s="4">
        <f>(J75+T76)-AD76</f>
      </c>
      <c r="AO76" s="4">
        <f>(K75+U76)-AE76</f>
      </c>
      <c r="AP76" s="4">
        <f>(L75+V76)-AF76</f>
      </c>
      <c r="AQ76" s="4">
        <f>(M75+W76)-AG76</f>
      </c>
      <c r="AR76" s="4">
        <f>(N75+X76)-AH76</f>
      </c>
      <c r="AS76" s="4">
        <f>(O75+Y76)-AI76</f>
      </c>
      <c r="AT76" s="4">
        <f>(P75+Z76)-AJ76</f>
      </c>
      <c r="AU76" s="4">
        <f>$B$16+SUM($K$5:$K$14)-SUM(AA76:AJ76)</f>
      </c>
      <c r="AV76" s="4">
        <f>AU76-BE76</f>
      </c>
      <c r="AW76" s="4">
        <f>AV76-BF76</f>
      </c>
      <c r="AX76" s="4">
        <f>AW76-BG76</f>
      </c>
      <c r="AY76" s="4">
        <f>AX76-BH76</f>
      </c>
      <c r="AZ76" s="4">
        <f>AY76-BI76</f>
      </c>
      <c r="BA76" s="4">
        <f>AZ76-BJ76</f>
      </c>
      <c r="BB76" s="4">
        <f>BA76-BK76</f>
      </c>
      <c r="BC76" s="4">
        <f>BB76-BL76</f>
      </c>
      <c r="BD76" s="4">
        <f>BC76-BM76</f>
      </c>
      <c r="BE76" s="4">
        <f>IF(G75&lt;=0,0,MIN(AU76,AK76))</f>
      </c>
      <c r="BF76" s="4">
        <f>IF(H75&lt;=0,0,MIN(AV76,AL76))</f>
      </c>
      <c r="BG76" s="4">
        <f>IF(I75&lt;=0,0,MIN(AW76,AM76))</f>
      </c>
      <c r="BH76" s="4">
        <f>IF(J75&lt;=0,0,MIN(AX76,AN76))</f>
      </c>
      <c r="BI76" s="4">
        <f>IF(K75&lt;=0,0,MIN(AY76,AO76))</f>
      </c>
      <c r="BJ76" s="4">
        <f>IF(L75&lt;=0,0,MIN(AZ76,AP76))</f>
      </c>
      <c r="BK76" s="4">
        <f>IF(M75&lt;=0,0,MIN(BA76,AQ76))</f>
      </c>
      <c r="BL76" s="4">
        <f>IF(N75&lt;=0,0,MIN(BB76,AR76))</f>
      </c>
      <c r="BM76" s="4">
        <f>IF(O75&lt;=0,0,MIN(BC76,AS76))</f>
      </c>
      <c r="BN76" s="4">
        <f>IF(P75&lt;=0,0,MIN(BD76,AT76))</f>
      </c>
    </row>
    <row r="77" spans="1:66" x14ac:dyDescent="0.25">
      <c r="A77">
        <v>50</v>
      </c>
      <c r="B77" s="7">
        <f>EDATE($B$17,50)</f>
      </c>
      <c r="C77" s="4">
        <f>SUM(G77:P77)</f>
      </c>
      <c r="D77" s="4">
        <f>SUM(Q77:Z77)</f>
      </c>
      <c r="E77" s="4">
        <f>SUM(AA77:AJ77)+SUM(BE77:BN77)</f>
      </c>
      <c r="G77" s="4">
        <f>MAX(0,AK77-BE77)</f>
      </c>
      <c r="H77" s="4">
        <f>MAX(0,AL77-BF77)</f>
      </c>
      <c r="I77" s="4">
        <f>MAX(0,AM77-BG77)</f>
      </c>
      <c r="J77" s="4">
        <f>MAX(0,AN77-BH77)</f>
      </c>
      <c r="K77" s="4">
        <f>MAX(0,AO77-BI77)</f>
      </c>
      <c r="L77" s="4">
        <f>MAX(0,AP77-BJ77)</f>
      </c>
      <c r="M77" s="4">
        <f>MAX(0,AQ77-BK77)</f>
      </c>
      <c r="N77" s="4">
        <f>MAX(0,AR77-BL77)</f>
      </c>
      <c r="O77" s="4">
        <f>MAX(0,AS77-BM77)</f>
      </c>
      <c r="P77" s="4">
        <f>MAX(0,AT77-BN77)</f>
      </c>
      <c r="Q77" s="4">
        <f>IF(G76&gt;0,G76*($J$5/100/12),0)</f>
      </c>
      <c r="R77" s="4">
        <f>IF(H76&gt;0,H76*($J$6/100/12),0)</f>
      </c>
      <c r="S77" s="4">
        <f>IF(I76&gt;0,I76*($J$7/100/12),0)</f>
      </c>
      <c r="T77" s="4">
        <f>IF(J76&gt;0,J76*($J$8/100/12),0)</f>
      </c>
      <c r="U77" s="4">
        <f>IF(K76&gt;0,K76*($J$9/100/12),0)</f>
      </c>
      <c r="V77" s="4">
        <f>IF(L76&gt;0,L76*($J$10/100/12),0)</f>
      </c>
      <c r="W77" s="4">
        <f>IF(M76&gt;0,M76*($J$11/100/12),0)</f>
      </c>
      <c r="X77" s="4">
        <f>IF(N76&gt;0,N76*($J$12/100/12),0)</f>
      </c>
      <c r="Y77" s="4">
        <f>IF(O76&gt;0,O76*($J$13/100/12),0)</f>
      </c>
      <c r="Z77" s="4">
        <f>IF(P76&gt;0,P76*($J$14/100/12),0)</f>
      </c>
      <c r="AA77" s="4">
        <f>IF(G76&lt;=0,0,MIN($K$5,(G76+Q77)))</f>
      </c>
      <c r="AB77" s="4">
        <f>IF(H76&lt;=0,0,MIN($K$6,(H76+R77)))</f>
      </c>
      <c r="AC77" s="4">
        <f>IF(I76&lt;=0,0,MIN($K$7,(I76+S77)))</f>
      </c>
      <c r="AD77" s="4">
        <f>IF(J76&lt;=0,0,MIN($K$8,(J76+T77)))</f>
      </c>
      <c r="AE77" s="4">
        <f>IF(K76&lt;=0,0,MIN($K$9,(K76+U77)))</f>
      </c>
      <c r="AF77" s="4">
        <f>IF(L76&lt;=0,0,MIN($K$10,(L76+V77)))</f>
      </c>
      <c r="AG77" s="4">
        <f>IF(M76&lt;=0,0,MIN($K$11,(M76+W77)))</f>
      </c>
      <c r="AH77" s="4">
        <f>IF(N76&lt;=0,0,MIN($K$12,(N76+X77)))</f>
      </c>
      <c r="AI77" s="4">
        <f>IF(O76&lt;=0,0,MIN($K$13,(O76+Y77)))</f>
      </c>
      <c r="AJ77" s="4">
        <f>IF(P76&lt;=0,0,MIN($K$14,(P76+Z77)))</f>
      </c>
      <c r="AK77" s="4">
        <f>(G76+Q77)-AA77</f>
      </c>
      <c r="AL77" s="4">
        <f>(H76+R77)-AB77</f>
      </c>
      <c r="AM77" s="4">
        <f>(I76+S77)-AC77</f>
      </c>
      <c r="AN77" s="4">
        <f>(J76+T77)-AD77</f>
      </c>
      <c r="AO77" s="4">
        <f>(K76+U77)-AE77</f>
      </c>
      <c r="AP77" s="4">
        <f>(L76+V77)-AF77</f>
      </c>
      <c r="AQ77" s="4">
        <f>(M76+W77)-AG77</f>
      </c>
      <c r="AR77" s="4">
        <f>(N76+X77)-AH77</f>
      </c>
      <c r="AS77" s="4">
        <f>(O76+Y77)-AI77</f>
      </c>
      <c r="AT77" s="4">
        <f>(P76+Z77)-AJ77</f>
      </c>
      <c r="AU77" s="4">
        <f>$B$16+SUM($K$5:$K$14)-SUM(AA77:AJ77)</f>
      </c>
      <c r="AV77" s="4">
        <f>AU77-BE77</f>
      </c>
      <c r="AW77" s="4">
        <f>AV77-BF77</f>
      </c>
      <c r="AX77" s="4">
        <f>AW77-BG77</f>
      </c>
      <c r="AY77" s="4">
        <f>AX77-BH77</f>
      </c>
      <c r="AZ77" s="4">
        <f>AY77-BI77</f>
      </c>
      <c r="BA77" s="4">
        <f>AZ77-BJ77</f>
      </c>
      <c r="BB77" s="4">
        <f>BA77-BK77</f>
      </c>
      <c r="BC77" s="4">
        <f>BB77-BL77</f>
      </c>
      <c r="BD77" s="4">
        <f>BC77-BM77</f>
      </c>
      <c r="BE77" s="4">
        <f>IF(G76&lt;=0,0,MIN(AU77,AK77))</f>
      </c>
      <c r="BF77" s="4">
        <f>IF(H76&lt;=0,0,MIN(AV77,AL77))</f>
      </c>
      <c r="BG77" s="4">
        <f>IF(I76&lt;=0,0,MIN(AW77,AM77))</f>
      </c>
      <c r="BH77" s="4">
        <f>IF(J76&lt;=0,0,MIN(AX77,AN77))</f>
      </c>
      <c r="BI77" s="4">
        <f>IF(K76&lt;=0,0,MIN(AY77,AO77))</f>
      </c>
      <c r="BJ77" s="4">
        <f>IF(L76&lt;=0,0,MIN(AZ77,AP77))</f>
      </c>
      <c r="BK77" s="4">
        <f>IF(M76&lt;=0,0,MIN(BA77,AQ77))</f>
      </c>
      <c r="BL77" s="4">
        <f>IF(N76&lt;=0,0,MIN(BB77,AR77))</f>
      </c>
      <c r="BM77" s="4">
        <f>IF(O76&lt;=0,0,MIN(BC77,AS77))</f>
      </c>
      <c r="BN77" s="4">
        <f>IF(P76&lt;=0,0,MIN(BD77,AT77))</f>
      </c>
    </row>
    <row r="78" spans="1:66" x14ac:dyDescent="0.25">
      <c r="A78">
        <v>51</v>
      </c>
      <c r="B78" s="7">
        <f>EDATE($B$17,51)</f>
      </c>
      <c r="C78" s="4">
        <f>SUM(G78:P78)</f>
      </c>
      <c r="D78" s="4">
        <f>SUM(Q78:Z78)</f>
      </c>
      <c r="E78" s="4">
        <f>SUM(AA78:AJ78)+SUM(BE78:BN78)</f>
      </c>
      <c r="G78" s="4">
        <f>MAX(0,AK78-BE78)</f>
      </c>
      <c r="H78" s="4">
        <f>MAX(0,AL78-BF78)</f>
      </c>
      <c r="I78" s="4">
        <f>MAX(0,AM78-BG78)</f>
      </c>
      <c r="J78" s="4">
        <f>MAX(0,AN78-BH78)</f>
      </c>
      <c r="K78" s="4">
        <f>MAX(0,AO78-BI78)</f>
      </c>
      <c r="L78" s="4">
        <f>MAX(0,AP78-BJ78)</f>
      </c>
      <c r="M78" s="4">
        <f>MAX(0,AQ78-BK78)</f>
      </c>
      <c r="N78" s="4">
        <f>MAX(0,AR78-BL78)</f>
      </c>
      <c r="O78" s="4">
        <f>MAX(0,AS78-BM78)</f>
      </c>
      <c r="P78" s="4">
        <f>MAX(0,AT78-BN78)</f>
      </c>
      <c r="Q78" s="4">
        <f>IF(G77&gt;0,G77*($J$5/100/12),0)</f>
      </c>
      <c r="R78" s="4">
        <f>IF(H77&gt;0,H77*($J$6/100/12),0)</f>
      </c>
      <c r="S78" s="4">
        <f>IF(I77&gt;0,I77*($J$7/100/12),0)</f>
      </c>
      <c r="T78" s="4">
        <f>IF(J77&gt;0,J77*($J$8/100/12),0)</f>
      </c>
      <c r="U78" s="4">
        <f>IF(K77&gt;0,K77*($J$9/100/12),0)</f>
      </c>
      <c r="V78" s="4">
        <f>IF(L77&gt;0,L77*($J$10/100/12),0)</f>
      </c>
      <c r="W78" s="4">
        <f>IF(M77&gt;0,M77*($J$11/100/12),0)</f>
      </c>
      <c r="X78" s="4">
        <f>IF(N77&gt;0,N77*($J$12/100/12),0)</f>
      </c>
      <c r="Y78" s="4">
        <f>IF(O77&gt;0,O77*($J$13/100/12),0)</f>
      </c>
      <c r="Z78" s="4">
        <f>IF(P77&gt;0,P77*($J$14/100/12),0)</f>
      </c>
      <c r="AA78" s="4">
        <f>IF(G77&lt;=0,0,MIN($K$5,(G77+Q78)))</f>
      </c>
      <c r="AB78" s="4">
        <f>IF(H77&lt;=0,0,MIN($K$6,(H77+R78)))</f>
      </c>
      <c r="AC78" s="4">
        <f>IF(I77&lt;=0,0,MIN($K$7,(I77+S78)))</f>
      </c>
      <c r="AD78" s="4">
        <f>IF(J77&lt;=0,0,MIN($K$8,(J77+T78)))</f>
      </c>
      <c r="AE78" s="4">
        <f>IF(K77&lt;=0,0,MIN($K$9,(K77+U78)))</f>
      </c>
      <c r="AF78" s="4">
        <f>IF(L77&lt;=0,0,MIN($K$10,(L77+V78)))</f>
      </c>
      <c r="AG78" s="4">
        <f>IF(M77&lt;=0,0,MIN($K$11,(M77+W78)))</f>
      </c>
      <c r="AH78" s="4">
        <f>IF(N77&lt;=0,0,MIN($K$12,(N77+X78)))</f>
      </c>
      <c r="AI78" s="4">
        <f>IF(O77&lt;=0,0,MIN($K$13,(O77+Y78)))</f>
      </c>
      <c r="AJ78" s="4">
        <f>IF(P77&lt;=0,0,MIN($K$14,(P77+Z78)))</f>
      </c>
      <c r="AK78" s="4">
        <f>(G77+Q78)-AA78</f>
      </c>
      <c r="AL78" s="4">
        <f>(H77+R78)-AB78</f>
      </c>
      <c r="AM78" s="4">
        <f>(I77+S78)-AC78</f>
      </c>
      <c r="AN78" s="4">
        <f>(J77+T78)-AD78</f>
      </c>
      <c r="AO78" s="4">
        <f>(K77+U78)-AE78</f>
      </c>
      <c r="AP78" s="4">
        <f>(L77+V78)-AF78</f>
      </c>
      <c r="AQ78" s="4">
        <f>(M77+W78)-AG78</f>
      </c>
      <c r="AR78" s="4">
        <f>(N77+X78)-AH78</f>
      </c>
      <c r="AS78" s="4">
        <f>(O77+Y78)-AI78</f>
      </c>
      <c r="AT78" s="4">
        <f>(P77+Z78)-AJ78</f>
      </c>
      <c r="AU78" s="4">
        <f>$B$16+SUM($K$5:$K$14)-SUM(AA78:AJ78)</f>
      </c>
      <c r="AV78" s="4">
        <f>AU78-BE78</f>
      </c>
      <c r="AW78" s="4">
        <f>AV78-BF78</f>
      </c>
      <c r="AX78" s="4">
        <f>AW78-BG78</f>
      </c>
      <c r="AY78" s="4">
        <f>AX78-BH78</f>
      </c>
      <c r="AZ78" s="4">
        <f>AY78-BI78</f>
      </c>
      <c r="BA78" s="4">
        <f>AZ78-BJ78</f>
      </c>
      <c r="BB78" s="4">
        <f>BA78-BK78</f>
      </c>
      <c r="BC78" s="4">
        <f>BB78-BL78</f>
      </c>
      <c r="BD78" s="4">
        <f>BC78-BM78</f>
      </c>
      <c r="BE78" s="4">
        <f>IF(G77&lt;=0,0,MIN(AU78,AK78))</f>
      </c>
      <c r="BF78" s="4">
        <f>IF(H77&lt;=0,0,MIN(AV78,AL78))</f>
      </c>
      <c r="BG78" s="4">
        <f>IF(I77&lt;=0,0,MIN(AW78,AM78))</f>
      </c>
      <c r="BH78" s="4">
        <f>IF(J77&lt;=0,0,MIN(AX78,AN78))</f>
      </c>
      <c r="BI78" s="4">
        <f>IF(K77&lt;=0,0,MIN(AY78,AO78))</f>
      </c>
      <c r="BJ78" s="4">
        <f>IF(L77&lt;=0,0,MIN(AZ78,AP78))</f>
      </c>
      <c r="BK78" s="4">
        <f>IF(M77&lt;=0,0,MIN(BA78,AQ78))</f>
      </c>
      <c r="BL78" s="4">
        <f>IF(N77&lt;=0,0,MIN(BB78,AR78))</f>
      </c>
      <c r="BM78" s="4">
        <f>IF(O77&lt;=0,0,MIN(BC78,AS78))</f>
      </c>
      <c r="BN78" s="4">
        <f>IF(P77&lt;=0,0,MIN(BD78,AT78))</f>
      </c>
    </row>
    <row r="79" spans="1:66" x14ac:dyDescent="0.25">
      <c r="A79">
        <v>52</v>
      </c>
      <c r="B79" s="7">
        <f>EDATE($B$17,52)</f>
      </c>
      <c r="C79" s="4">
        <f>SUM(G79:P79)</f>
      </c>
      <c r="D79" s="4">
        <f>SUM(Q79:Z79)</f>
      </c>
      <c r="E79" s="4">
        <f>SUM(AA79:AJ79)+SUM(BE79:BN79)</f>
      </c>
      <c r="G79" s="4">
        <f>MAX(0,AK79-BE79)</f>
      </c>
      <c r="H79" s="4">
        <f>MAX(0,AL79-BF79)</f>
      </c>
      <c r="I79" s="4">
        <f>MAX(0,AM79-BG79)</f>
      </c>
      <c r="J79" s="4">
        <f>MAX(0,AN79-BH79)</f>
      </c>
      <c r="K79" s="4">
        <f>MAX(0,AO79-BI79)</f>
      </c>
      <c r="L79" s="4">
        <f>MAX(0,AP79-BJ79)</f>
      </c>
      <c r="M79" s="4">
        <f>MAX(0,AQ79-BK79)</f>
      </c>
      <c r="N79" s="4">
        <f>MAX(0,AR79-BL79)</f>
      </c>
      <c r="O79" s="4">
        <f>MAX(0,AS79-BM79)</f>
      </c>
      <c r="P79" s="4">
        <f>MAX(0,AT79-BN79)</f>
      </c>
      <c r="Q79" s="4">
        <f>IF(G78&gt;0,G78*($J$5/100/12),0)</f>
      </c>
      <c r="R79" s="4">
        <f>IF(H78&gt;0,H78*($J$6/100/12),0)</f>
      </c>
      <c r="S79" s="4">
        <f>IF(I78&gt;0,I78*($J$7/100/12),0)</f>
      </c>
      <c r="T79" s="4">
        <f>IF(J78&gt;0,J78*($J$8/100/12),0)</f>
      </c>
      <c r="U79" s="4">
        <f>IF(K78&gt;0,K78*($J$9/100/12),0)</f>
      </c>
      <c r="V79" s="4">
        <f>IF(L78&gt;0,L78*($J$10/100/12),0)</f>
      </c>
      <c r="W79" s="4">
        <f>IF(M78&gt;0,M78*($J$11/100/12),0)</f>
      </c>
      <c r="X79" s="4">
        <f>IF(N78&gt;0,N78*($J$12/100/12),0)</f>
      </c>
      <c r="Y79" s="4">
        <f>IF(O78&gt;0,O78*($J$13/100/12),0)</f>
      </c>
      <c r="Z79" s="4">
        <f>IF(P78&gt;0,P78*($J$14/100/12),0)</f>
      </c>
      <c r="AA79" s="4">
        <f>IF(G78&lt;=0,0,MIN($K$5,(G78+Q79)))</f>
      </c>
      <c r="AB79" s="4">
        <f>IF(H78&lt;=0,0,MIN($K$6,(H78+R79)))</f>
      </c>
      <c r="AC79" s="4">
        <f>IF(I78&lt;=0,0,MIN($K$7,(I78+S79)))</f>
      </c>
      <c r="AD79" s="4">
        <f>IF(J78&lt;=0,0,MIN($K$8,(J78+T79)))</f>
      </c>
      <c r="AE79" s="4">
        <f>IF(K78&lt;=0,0,MIN($K$9,(K78+U79)))</f>
      </c>
      <c r="AF79" s="4">
        <f>IF(L78&lt;=0,0,MIN($K$10,(L78+V79)))</f>
      </c>
      <c r="AG79" s="4">
        <f>IF(M78&lt;=0,0,MIN($K$11,(M78+W79)))</f>
      </c>
      <c r="AH79" s="4">
        <f>IF(N78&lt;=0,0,MIN($K$12,(N78+X79)))</f>
      </c>
      <c r="AI79" s="4">
        <f>IF(O78&lt;=0,0,MIN($K$13,(O78+Y79)))</f>
      </c>
      <c r="AJ79" s="4">
        <f>IF(P78&lt;=0,0,MIN($K$14,(P78+Z79)))</f>
      </c>
      <c r="AK79" s="4">
        <f>(G78+Q79)-AA79</f>
      </c>
      <c r="AL79" s="4">
        <f>(H78+R79)-AB79</f>
      </c>
      <c r="AM79" s="4">
        <f>(I78+S79)-AC79</f>
      </c>
      <c r="AN79" s="4">
        <f>(J78+T79)-AD79</f>
      </c>
      <c r="AO79" s="4">
        <f>(K78+U79)-AE79</f>
      </c>
      <c r="AP79" s="4">
        <f>(L78+V79)-AF79</f>
      </c>
      <c r="AQ79" s="4">
        <f>(M78+W79)-AG79</f>
      </c>
      <c r="AR79" s="4">
        <f>(N78+X79)-AH79</f>
      </c>
      <c r="AS79" s="4">
        <f>(O78+Y79)-AI79</f>
      </c>
      <c r="AT79" s="4">
        <f>(P78+Z79)-AJ79</f>
      </c>
      <c r="AU79" s="4">
        <f>$B$16+SUM($K$5:$K$14)-SUM(AA79:AJ79)</f>
      </c>
      <c r="AV79" s="4">
        <f>AU79-BE79</f>
      </c>
      <c r="AW79" s="4">
        <f>AV79-BF79</f>
      </c>
      <c r="AX79" s="4">
        <f>AW79-BG79</f>
      </c>
      <c r="AY79" s="4">
        <f>AX79-BH79</f>
      </c>
      <c r="AZ79" s="4">
        <f>AY79-BI79</f>
      </c>
      <c r="BA79" s="4">
        <f>AZ79-BJ79</f>
      </c>
      <c r="BB79" s="4">
        <f>BA79-BK79</f>
      </c>
      <c r="BC79" s="4">
        <f>BB79-BL79</f>
      </c>
      <c r="BD79" s="4">
        <f>BC79-BM79</f>
      </c>
      <c r="BE79" s="4">
        <f>IF(G78&lt;=0,0,MIN(AU79,AK79))</f>
      </c>
      <c r="BF79" s="4">
        <f>IF(H78&lt;=0,0,MIN(AV79,AL79))</f>
      </c>
      <c r="BG79" s="4">
        <f>IF(I78&lt;=0,0,MIN(AW79,AM79))</f>
      </c>
      <c r="BH79" s="4">
        <f>IF(J78&lt;=0,0,MIN(AX79,AN79))</f>
      </c>
      <c r="BI79" s="4">
        <f>IF(K78&lt;=0,0,MIN(AY79,AO79))</f>
      </c>
      <c r="BJ79" s="4">
        <f>IF(L78&lt;=0,0,MIN(AZ79,AP79))</f>
      </c>
      <c r="BK79" s="4">
        <f>IF(M78&lt;=0,0,MIN(BA79,AQ79))</f>
      </c>
      <c r="BL79" s="4">
        <f>IF(N78&lt;=0,0,MIN(BB79,AR79))</f>
      </c>
      <c r="BM79" s="4">
        <f>IF(O78&lt;=0,0,MIN(BC79,AS79))</f>
      </c>
      <c r="BN79" s="4">
        <f>IF(P78&lt;=0,0,MIN(BD79,AT79))</f>
      </c>
    </row>
    <row r="80" spans="1:66" x14ac:dyDescent="0.25">
      <c r="A80">
        <v>53</v>
      </c>
      <c r="B80" s="7">
        <f>EDATE($B$17,53)</f>
      </c>
      <c r="C80" s="4">
        <f>SUM(G80:P80)</f>
      </c>
      <c r="D80" s="4">
        <f>SUM(Q80:Z80)</f>
      </c>
      <c r="E80" s="4">
        <f>SUM(AA80:AJ80)+SUM(BE80:BN80)</f>
      </c>
      <c r="G80" s="4">
        <f>MAX(0,AK80-BE80)</f>
      </c>
      <c r="H80" s="4">
        <f>MAX(0,AL80-BF80)</f>
      </c>
      <c r="I80" s="4">
        <f>MAX(0,AM80-BG80)</f>
      </c>
      <c r="J80" s="4">
        <f>MAX(0,AN80-BH80)</f>
      </c>
      <c r="K80" s="4">
        <f>MAX(0,AO80-BI80)</f>
      </c>
      <c r="L80" s="4">
        <f>MAX(0,AP80-BJ80)</f>
      </c>
      <c r="M80" s="4">
        <f>MAX(0,AQ80-BK80)</f>
      </c>
      <c r="N80" s="4">
        <f>MAX(0,AR80-BL80)</f>
      </c>
      <c r="O80" s="4">
        <f>MAX(0,AS80-BM80)</f>
      </c>
      <c r="P80" s="4">
        <f>MAX(0,AT80-BN80)</f>
      </c>
      <c r="Q80" s="4">
        <f>IF(G79&gt;0,G79*($J$5/100/12),0)</f>
      </c>
      <c r="R80" s="4">
        <f>IF(H79&gt;0,H79*($J$6/100/12),0)</f>
      </c>
      <c r="S80" s="4">
        <f>IF(I79&gt;0,I79*($J$7/100/12),0)</f>
      </c>
      <c r="T80" s="4">
        <f>IF(J79&gt;0,J79*($J$8/100/12),0)</f>
      </c>
      <c r="U80" s="4">
        <f>IF(K79&gt;0,K79*($J$9/100/12),0)</f>
      </c>
      <c r="V80" s="4">
        <f>IF(L79&gt;0,L79*($J$10/100/12),0)</f>
      </c>
      <c r="W80" s="4">
        <f>IF(M79&gt;0,M79*($J$11/100/12),0)</f>
      </c>
      <c r="X80" s="4">
        <f>IF(N79&gt;0,N79*($J$12/100/12),0)</f>
      </c>
      <c r="Y80" s="4">
        <f>IF(O79&gt;0,O79*($J$13/100/12),0)</f>
      </c>
      <c r="Z80" s="4">
        <f>IF(P79&gt;0,P79*($J$14/100/12),0)</f>
      </c>
      <c r="AA80" s="4">
        <f>IF(G79&lt;=0,0,MIN($K$5,(G79+Q80)))</f>
      </c>
      <c r="AB80" s="4">
        <f>IF(H79&lt;=0,0,MIN($K$6,(H79+R80)))</f>
      </c>
      <c r="AC80" s="4">
        <f>IF(I79&lt;=0,0,MIN($K$7,(I79+S80)))</f>
      </c>
      <c r="AD80" s="4">
        <f>IF(J79&lt;=0,0,MIN($K$8,(J79+T80)))</f>
      </c>
      <c r="AE80" s="4">
        <f>IF(K79&lt;=0,0,MIN($K$9,(K79+U80)))</f>
      </c>
      <c r="AF80" s="4">
        <f>IF(L79&lt;=0,0,MIN($K$10,(L79+V80)))</f>
      </c>
      <c r="AG80" s="4">
        <f>IF(M79&lt;=0,0,MIN($K$11,(M79+W80)))</f>
      </c>
      <c r="AH80" s="4">
        <f>IF(N79&lt;=0,0,MIN($K$12,(N79+X80)))</f>
      </c>
      <c r="AI80" s="4">
        <f>IF(O79&lt;=0,0,MIN($K$13,(O79+Y80)))</f>
      </c>
      <c r="AJ80" s="4">
        <f>IF(P79&lt;=0,0,MIN($K$14,(P79+Z80)))</f>
      </c>
      <c r="AK80" s="4">
        <f>(G79+Q80)-AA80</f>
      </c>
      <c r="AL80" s="4">
        <f>(H79+R80)-AB80</f>
      </c>
      <c r="AM80" s="4">
        <f>(I79+S80)-AC80</f>
      </c>
      <c r="AN80" s="4">
        <f>(J79+T80)-AD80</f>
      </c>
      <c r="AO80" s="4">
        <f>(K79+U80)-AE80</f>
      </c>
      <c r="AP80" s="4">
        <f>(L79+V80)-AF80</f>
      </c>
      <c r="AQ80" s="4">
        <f>(M79+W80)-AG80</f>
      </c>
      <c r="AR80" s="4">
        <f>(N79+X80)-AH80</f>
      </c>
      <c r="AS80" s="4">
        <f>(O79+Y80)-AI80</f>
      </c>
      <c r="AT80" s="4">
        <f>(P79+Z80)-AJ80</f>
      </c>
      <c r="AU80" s="4">
        <f>$B$16+SUM($K$5:$K$14)-SUM(AA80:AJ80)</f>
      </c>
      <c r="AV80" s="4">
        <f>AU80-BE80</f>
      </c>
      <c r="AW80" s="4">
        <f>AV80-BF80</f>
      </c>
      <c r="AX80" s="4">
        <f>AW80-BG80</f>
      </c>
      <c r="AY80" s="4">
        <f>AX80-BH80</f>
      </c>
      <c r="AZ80" s="4">
        <f>AY80-BI80</f>
      </c>
      <c r="BA80" s="4">
        <f>AZ80-BJ80</f>
      </c>
      <c r="BB80" s="4">
        <f>BA80-BK80</f>
      </c>
      <c r="BC80" s="4">
        <f>BB80-BL80</f>
      </c>
      <c r="BD80" s="4">
        <f>BC80-BM80</f>
      </c>
      <c r="BE80" s="4">
        <f>IF(G79&lt;=0,0,MIN(AU80,AK80))</f>
      </c>
      <c r="BF80" s="4">
        <f>IF(H79&lt;=0,0,MIN(AV80,AL80))</f>
      </c>
      <c r="BG80" s="4">
        <f>IF(I79&lt;=0,0,MIN(AW80,AM80))</f>
      </c>
      <c r="BH80" s="4">
        <f>IF(J79&lt;=0,0,MIN(AX80,AN80))</f>
      </c>
      <c r="BI80" s="4">
        <f>IF(K79&lt;=0,0,MIN(AY80,AO80))</f>
      </c>
      <c r="BJ80" s="4">
        <f>IF(L79&lt;=0,0,MIN(AZ80,AP80))</f>
      </c>
      <c r="BK80" s="4">
        <f>IF(M79&lt;=0,0,MIN(BA80,AQ80))</f>
      </c>
      <c r="BL80" s="4">
        <f>IF(N79&lt;=0,0,MIN(BB80,AR80))</f>
      </c>
      <c r="BM80" s="4">
        <f>IF(O79&lt;=0,0,MIN(BC80,AS80))</f>
      </c>
      <c r="BN80" s="4">
        <f>IF(P79&lt;=0,0,MIN(BD80,AT80))</f>
      </c>
    </row>
    <row r="81" spans="1:66" x14ac:dyDescent="0.25">
      <c r="A81">
        <v>54</v>
      </c>
      <c r="B81" s="7">
        <f>EDATE($B$17,54)</f>
      </c>
      <c r="C81" s="4">
        <f>SUM(G81:P81)</f>
      </c>
      <c r="D81" s="4">
        <f>SUM(Q81:Z81)</f>
      </c>
      <c r="E81" s="4">
        <f>SUM(AA81:AJ81)+SUM(BE81:BN81)</f>
      </c>
      <c r="G81" s="4">
        <f>MAX(0,AK81-BE81)</f>
      </c>
      <c r="H81" s="4">
        <f>MAX(0,AL81-BF81)</f>
      </c>
      <c r="I81" s="4">
        <f>MAX(0,AM81-BG81)</f>
      </c>
      <c r="J81" s="4">
        <f>MAX(0,AN81-BH81)</f>
      </c>
      <c r="K81" s="4">
        <f>MAX(0,AO81-BI81)</f>
      </c>
      <c r="L81" s="4">
        <f>MAX(0,AP81-BJ81)</f>
      </c>
      <c r="M81" s="4">
        <f>MAX(0,AQ81-BK81)</f>
      </c>
      <c r="N81" s="4">
        <f>MAX(0,AR81-BL81)</f>
      </c>
      <c r="O81" s="4">
        <f>MAX(0,AS81-BM81)</f>
      </c>
      <c r="P81" s="4">
        <f>MAX(0,AT81-BN81)</f>
      </c>
      <c r="Q81" s="4">
        <f>IF(G80&gt;0,G80*($J$5/100/12),0)</f>
      </c>
      <c r="R81" s="4">
        <f>IF(H80&gt;0,H80*($J$6/100/12),0)</f>
      </c>
      <c r="S81" s="4">
        <f>IF(I80&gt;0,I80*($J$7/100/12),0)</f>
      </c>
      <c r="T81" s="4">
        <f>IF(J80&gt;0,J80*($J$8/100/12),0)</f>
      </c>
      <c r="U81" s="4">
        <f>IF(K80&gt;0,K80*($J$9/100/12),0)</f>
      </c>
      <c r="V81" s="4">
        <f>IF(L80&gt;0,L80*($J$10/100/12),0)</f>
      </c>
      <c r="W81" s="4">
        <f>IF(M80&gt;0,M80*($J$11/100/12),0)</f>
      </c>
      <c r="X81" s="4">
        <f>IF(N80&gt;0,N80*($J$12/100/12),0)</f>
      </c>
      <c r="Y81" s="4">
        <f>IF(O80&gt;0,O80*($J$13/100/12),0)</f>
      </c>
      <c r="Z81" s="4">
        <f>IF(P80&gt;0,P80*($J$14/100/12),0)</f>
      </c>
      <c r="AA81" s="4">
        <f>IF(G80&lt;=0,0,MIN($K$5,(G80+Q81)))</f>
      </c>
      <c r="AB81" s="4">
        <f>IF(H80&lt;=0,0,MIN($K$6,(H80+R81)))</f>
      </c>
      <c r="AC81" s="4">
        <f>IF(I80&lt;=0,0,MIN($K$7,(I80+S81)))</f>
      </c>
      <c r="AD81" s="4">
        <f>IF(J80&lt;=0,0,MIN($K$8,(J80+T81)))</f>
      </c>
      <c r="AE81" s="4">
        <f>IF(K80&lt;=0,0,MIN($K$9,(K80+U81)))</f>
      </c>
      <c r="AF81" s="4">
        <f>IF(L80&lt;=0,0,MIN($K$10,(L80+V81)))</f>
      </c>
      <c r="AG81" s="4">
        <f>IF(M80&lt;=0,0,MIN($K$11,(M80+W81)))</f>
      </c>
      <c r="AH81" s="4">
        <f>IF(N80&lt;=0,0,MIN($K$12,(N80+X81)))</f>
      </c>
      <c r="AI81" s="4">
        <f>IF(O80&lt;=0,0,MIN($K$13,(O80+Y81)))</f>
      </c>
      <c r="AJ81" s="4">
        <f>IF(P80&lt;=0,0,MIN($K$14,(P80+Z81)))</f>
      </c>
      <c r="AK81" s="4">
        <f>(G80+Q81)-AA81</f>
      </c>
      <c r="AL81" s="4">
        <f>(H80+R81)-AB81</f>
      </c>
      <c r="AM81" s="4">
        <f>(I80+S81)-AC81</f>
      </c>
      <c r="AN81" s="4">
        <f>(J80+T81)-AD81</f>
      </c>
      <c r="AO81" s="4">
        <f>(K80+U81)-AE81</f>
      </c>
      <c r="AP81" s="4">
        <f>(L80+V81)-AF81</f>
      </c>
      <c r="AQ81" s="4">
        <f>(M80+W81)-AG81</f>
      </c>
      <c r="AR81" s="4">
        <f>(N80+X81)-AH81</f>
      </c>
      <c r="AS81" s="4">
        <f>(O80+Y81)-AI81</f>
      </c>
      <c r="AT81" s="4">
        <f>(P80+Z81)-AJ81</f>
      </c>
      <c r="AU81" s="4">
        <f>$B$16+SUM($K$5:$K$14)-SUM(AA81:AJ81)</f>
      </c>
      <c r="AV81" s="4">
        <f>AU81-BE81</f>
      </c>
      <c r="AW81" s="4">
        <f>AV81-BF81</f>
      </c>
      <c r="AX81" s="4">
        <f>AW81-BG81</f>
      </c>
      <c r="AY81" s="4">
        <f>AX81-BH81</f>
      </c>
      <c r="AZ81" s="4">
        <f>AY81-BI81</f>
      </c>
      <c r="BA81" s="4">
        <f>AZ81-BJ81</f>
      </c>
      <c r="BB81" s="4">
        <f>BA81-BK81</f>
      </c>
      <c r="BC81" s="4">
        <f>BB81-BL81</f>
      </c>
      <c r="BD81" s="4">
        <f>BC81-BM81</f>
      </c>
      <c r="BE81" s="4">
        <f>IF(G80&lt;=0,0,MIN(AU81,AK81))</f>
      </c>
      <c r="BF81" s="4">
        <f>IF(H80&lt;=0,0,MIN(AV81,AL81))</f>
      </c>
      <c r="BG81" s="4">
        <f>IF(I80&lt;=0,0,MIN(AW81,AM81))</f>
      </c>
      <c r="BH81" s="4">
        <f>IF(J80&lt;=0,0,MIN(AX81,AN81))</f>
      </c>
      <c r="BI81" s="4">
        <f>IF(K80&lt;=0,0,MIN(AY81,AO81))</f>
      </c>
      <c r="BJ81" s="4">
        <f>IF(L80&lt;=0,0,MIN(AZ81,AP81))</f>
      </c>
      <c r="BK81" s="4">
        <f>IF(M80&lt;=0,0,MIN(BA81,AQ81))</f>
      </c>
      <c r="BL81" s="4">
        <f>IF(N80&lt;=0,0,MIN(BB81,AR81))</f>
      </c>
      <c r="BM81" s="4">
        <f>IF(O80&lt;=0,0,MIN(BC81,AS81))</f>
      </c>
      <c r="BN81" s="4">
        <f>IF(P80&lt;=0,0,MIN(BD81,AT81))</f>
      </c>
    </row>
    <row r="82" spans="1:66" x14ac:dyDescent="0.25">
      <c r="A82">
        <v>55</v>
      </c>
      <c r="B82" s="7">
        <f>EDATE($B$17,55)</f>
      </c>
      <c r="C82" s="4">
        <f>SUM(G82:P82)</f>
      </c>
      <c r="D82" s="4">
        <f>SUM(Q82:Z82)</f>
      </c>
      <c r="E82" s="4">
        <f>SUM(AA82:AJ82)+SUM(BE82:BN82)</f>
      </c>
      <c r="G82" s="4">
        <f>MAX(0,AK82-BE82)</f>
      </c>
      <c r="H82" s="4">
        <f>MAX(0,AL82-BF82)</f>
      </c>
      <c r="I82" s="4">
        <f>MAX(0,AM82-BG82)</f>
      </c>
      <c r="J82" s="4">
        <f>MAX(0,AN82-BH82)</f>
      </c>
      <c r="K82" s="4">
        <f>MAX(0,AO82-BI82)</f>
      </c>
      <c r="L82" s="4">
        <f>MAX(0,AP82-BJ82)</f>
      </c>
      <c r="M82" s="4">
        <f>MAX(0,AQ82-BK82)</f>
      </c>
      <c r="N82" s="4">
        <f>MAX(0,AR82-BL82)</f>
      </c>
      <c r="O82" s="4">
        <f>MAX(0,AS82-BM82)</f>
      </c>
      <c r="P82" s="4">
        <f>MAX(0,AT82-BN82)</f>
      </c>
      <c r="Q82" s="4">
        <f>IF(G81&gt;0,G81*($J$5/100/12),0)</f>
      </c>
      <c r="R82" s="4">
        <f>IF(H81&gt;0,H81*($J$6/100/12),0)</f>
      </c>
      <c r="S82" s="4">
        <f>IF(I81&gt;0,I81*($J$7/100/12),0)</f>
      </c>
      <c r="T82" s="4">
        <f>IF(J81&gt;0,J81*($J$8/100/12),0)</f>
      </c>
      <c r="U82" s="4">
        <f>IF(K81&gt;0,K81*($J$9/100/12),0)</f>
      </c>
      <c r="V82" s="4">
        <f>IF(L81&gt;0,L81*($J$10/100/12),0)</f>
      </c>
      <c r="W82" s="4">
        <f>IF(M81&gt;0,M81*($J$11/100/12),0)</f>
      </c>
      <c r="X82" s="4">
        <f>IF(N81&gt;0,N81*($J$12/100/12),0)</f>
      </c>
      <c r="Y82" s="4">
        <f>IF(O81&gt;0,O81*($J$13/100/12),0)</f>
      </c>
      <c r="Z82" s="4">
        <f>IF(P81&gt;0,P81*($J$14/100/12),0)</f>
      </c>
      <c r="AA82" s="4">
        <f>IF(G81&lt;=0,0,MIN($K$5,(G81+Q82)))</f>
      </c>
      <c r="AB82" s="4">
        <f>IF(H81&lt;=0,0,MIN($K$6,(H81+R82)))</f>
      </c>
      <c r="AC82" s="4">
        <f>IF(I81&lt;=0,0,MIN($K$7,(I81+S82)))</f>
      </c>
      <c r="AD82" s="4">
        <f>IF(J81&lt;=0,0,MIN($K$8,(J81+T82)))</f>
      </c>
      <c r="AE82" s="4">
        <f>IF(K81&lt;=0,0,MIN($K$9,(K81+U82)))</f>
      </c>
      <c r="AF82" s="4">
        <f>IF(L81&lt;=0,0,MIN($K$10,(L81+V82)))</f>
      </c>
      <c r="AG82" s="4">
        <f>IF(M81&lt;=0,0,MIN($K$11,(M81+W82)))</f>
      </c>
      <c r="AH82" s="4">
        <f>IF(N81&lt;=0,0,MIN($K$12,(N81+X82)))</f>
      </c>
      <c r="AI82" s="4">
        <f>IF(O81&lt;=0,0,MIN($K$13,(O81+Y82)))</f>
      </c>
      <c r="AJ82" s="4">
        <f>IF(P81&lt;=0,0,MIN($K$14,(P81+Z82)))</f>
      </c>
      <c r="AK82" s="4">
        <f>(G81+Q82)-AA82</f>
      </c>
      <c r="AL82" s="4">
        <f>(H81+R82)-AB82</f>
      </c>
      <c r="AM82" s="4">
        <f>(I81+S82)-AC82</f>
      </c>
      <c r="AN82" s="4">
        <f>(J81+T82)-AD82</f>
      </c>
      <c r="AO82" s="4">
        <f>(K81+U82)-AE82</f>
      </c>
      <c r="AP82" s="4">
        <f>(L81+V82)-AF82</f>
      </c>
      <c r="AQ82" s="4">
        <f>(M81+W82)-AG82</f>
      </c>
      <c r="AR82" s="4">
        <f>(N81+X82)-AH82</f>
      </c>
      <c r="AS82" s="4">
        <f>(O81+Y82)-AI82</f>
      </c>
      <c r="AT82" s="4">
        <f>(P81+Z82)-AJ82</f>
      </c>
      <c r="AU82" s="4">
        <f>$B$16+SUM($K$5:$K$14)-SUM(AA82:AJ82)</f>
      </c>
      <c r="AV82" s="4">
        <f>AU82-BE82</f>
      </c>
      <c r="AW82" s="4">
        <f>AV82-BF82</f>
      </c>
      <c r="AX82" s="4">
        <f>AW82-BG82</f>
      </c>
      <c r="AY82" s="4">
        <f>AX82-BH82</f>
      </c>
      <c r="AZ82" s="4">
        <f>AY82-BI82</f>
      </c>
      <c r="BA82" s="4">
        <f>AZ82-BJ82</f>
      </c>
      <c r="BB82" s="4">
        <f>BA82-BK82</f>
      </c>
      <c r="BC82" s="4">
        <f>BB82-BL82</f>
      </c>
      <c r="BD82" s="4">
        <f>BC82-BM82</f>
      </c>
      <c r="BE82" s="4">
        <f>IF(G81&lt;=0,0,MIN(AU82,AK82))</f>
      </c>
      <c r="BF82" s="4">
        <f>IF(H81&lt;=0,0,MIN(AV82,AL82))</f>
      </c>
      <c r="BG82" s="4">
        <f>IF(I81&lt;=0,0,MIN(AW82,AM82))</f>
      </c>
      <c r="BH82" s="4">
        <f>IF(J81&lt;=0,0,MIN(AX82,AN82))</f>
      </c>
      <c r="BI82" s="4">
        <f>IF(K81&lt;=0,0,MIN(AY82,AO82))</f>
      </c>
      <c r="BJ82" s="4">
        <f>IF(L81&lt;=0,0,MIN(AZ82,AP82))</f>
      </c>
      <c r="BK82" s="4">
        <f>IF(M81&lt;=0,0,MIN(BA82,AQ82))</f>
      </c>
      <c r="BL82" s="4">
        <f>IF(N81&lt;=0,0,MIN(BB82,AR82))</f>
      </c>
      <c r="BM82" s="4">
        <f>IF(O81&lt;=0,0,MIN(BC82,AS82))</f>
      </c>
      <c r="BN82" s="4">
        <f>IF(P81&lt;=0,0,MIN(BD82,AT82))</f>
      </c>
    </row>
    <row r="83" spans="1:66" x14ac:dyDescent="0.25">
      <c r="A83">
        <v>56</v>
      </c>
      <c r="B83" s="7">
        <f>EDATE($B$17,56)</f>
      </c>
      <c r="C83" s="4">
        <f>SUM(G83:P83)</f>
      </c>
      <c r="D83" s="4">
        <f>SUM(Q83:Z83)</f>
      </c>
      <c r="E83" s="4">
        <f>SUM(AA83:AJ83)+SUM(BE83:BN83)</f>
      </c>
      <c r="G83" s="4">
        <f>MAX(0,AK83-BE83)</f>
      </c>
      <c r="H83" s="4">
        <f>MAX(0,AL83-BF83)</f>
      </c>
      <c r="I83" s="4">
        <f>MAX(0,AM83-BG83)</f>
      </c>
      <c r="J83" s="4">
        <f>MAX(0,AN83-BH83)</f>
      </c>
      <c r="K83" s="4">
        <f>MAX(0,AO83-BI83)</f>
      </c>
      <c r="L83" s="4">
        <f>MAX(0,AP83-BJ83)</f>
      </c>
      <c r="M83" s="4">
        <f>MAX(0,AQ83-BK83)</f>
      </c>
      <c r="N83" s="4">
        <f>MAX(0,AR83-BL83)</f>
      </c>
      <c r="O83" s="4">
        <f>MAX(0,AS83-BM83)</f>
      </c>
      <c r="P83" s="4">
        <f>MAX(0,AT83-BN83)</f>
      </c>
      <c r="Q83" s="4">
        <f>IF(G82&gt;0,G82*($J$5/100/12),0)</f>
      </c>
      <c r="R83" s="4">
        <f>IF(H82&gt;0,H82*($J$6/100/12),0)</f>
      </c>
      <c r="S83" s="4">
        <f>IF(I82&gt;0,I82*($J$7/100/12),0)</f>
      </c>
      <c r="T83" s="4">
        <f>IF(J82&gt;0,J82*($J$8/100/12),0)</f>
      </c>
      <c r="U83" s="4">
        <f>IF(K82&gt;0,K82*($J$9/100/12),0)</f>
      </c>
      <c r="V83" s="4">
        <f>IF(L82&gt;0,L82*($J$10/100/12),0)</f>
      </c>
      <c r="W83" s="4">
        <f>IF(M82&gt;0,M82*($J$11/100/12),0)</f>
      </c>
      <c r="X83" s="4">
        <f>IF(N82&gt;0,N82*($J$12/100/12),0)</f>
      </c>
      <c r="Y83" s="4">
        <f>IF(O82&gt;0,O82*($J$13/100/12),0)</f>
      </c>
      <c r="Z83" s="4">
        <f>IF(P82&gt;0,P82*($J$14/100/12),0)</f>
      </c>
      <c r="AA83" s="4">
        <f>IF(G82&lt;=0,0,MIN($K$5,(G82+Q83)))</f>
      </c>
      <c r="AB83" s="4">
        <f>IF(H82&lt;=0,0,MIN($K$6,(H82+R83)))</f>
      </c>
      <c r="AC83" s="4">
        <f>IF(I82&lt;=0,0,MIN($K$7,(I82+S83)))</f>
      </c>
      <c r="AD83" s="4">
        <f>IF(J82&lt;=0,0,MIN($K$8,(J82+T83)))</f>
      </c>
      <c r="AE83" s="4">
        <f>IF(K82&lt;=0,0,MIN($K$9,(K82+U83)))</f>
      </c>
      <c r="AF83" s="4">
        <f>IF(L82&lt;=0,0,MIN($K$10,(L82+V83)))</f>
      </c>
      <c r="AG83" s="4">
        <f>IF(M82&lt;=0,0,MIN($K$11,(M82+W83)))</f>
      </c>
      <c r="AH83" s="4">
        <f>IF(N82&lt;=0,0,MIN($K$12,(N82+X83)))</f>
      </c>
      <c r="AI83" s="4">
        <f>IF(O82&lt;=0,0,MIN($K$13,(O82+Y83)))</f>
      </c>
      <c r="AJ83" s="4">
        <f>IF(P82&lt;=0,0,MIN($K$14,(P82+Z83)))</f>
      </c>
      <c r="AK83" s="4">
        <f>(G82+Q83)-AA83</f>
      </c>
      <c r="AL83" s="4">
        <f>(H82+R83)-AB83</f>
      </c>
      <c r="AM83" s="4">
        <f>(I82+S83)-AC83</f>
      </c>
      <c r="AN83" s="4">
        <f>(J82+T83)-AD83</f>
      </c>
      <c r="AO83" s="4">
        <f>(K82+U83)-AE83</f>
      </c>
      <c r="AP83" s="4">
        <f>(L82+V83)-AF83</f>
      </c>
      <c r="AQ83" s="4">
        <f>(M82+W83)-AG83</f>
      </c>
      <c r="AR83" s="4">
        <f>(N82+X83)-AH83</f>
      </c>
      <c r="AS83" s="4">
        <f>(O82+Y83)-AI83</f>
      </c>
      <c r="AT83" s="4">
        <f>(P82+Z83)-AJ83</f>
      </c>
      <c r="AU83" s="4">
        <f>$B$16+SUM($K$5:$K$14)-SUM(AA83:AJ83)</f>
      </c>
      <c r="AV83" s="4">
        <f>AU83-BE83</f>
      </c>
      <c r="AW83" s="4">
        <f>AV83-BF83</f>
      </c>
      <c r="AX83" s="4">
        <f>AW83-BG83</f>
      </c>
      <c r="AY83" s="4">
        <f>AX83-BH83</f>
      </c>
      <c r="AZ83" s="4">
        <f>AY83-BI83</f>
      </c>
      <c r="BA83" s="4">
        <f>AZ83-BJ83</f>
      </c>
      <c r="BB83" s="4">
        <f>BA83-BK83</f>
      </c>
      <c r="BC83" s="4">
        <f>BB83-BL83</f>
      </c>
      <c r="BD83" s="4">
        <f>BC83-BM83</f>
      </c>
      <c r="BE83" s="4">
        <f>IF(G82&lt;=0,0,MIN(AU83,AK83))</f>
      </c>
      <c r="BF83" s="4">
        <f>IF(H82&lt;=0,0,MIN(AV83,AL83))</f>
      </c>
      <c r="BG83" s="4">
        <f>IF(I82&lt;=0,0,MIN(AW83,AM83))</f>
      </c>
      <c r="BH83" s="4">
        <f>IF(J82&lt;=0,0,MIN(AX83,AN83))</f>
      </c>
      <c r="BI83" s="4">
        <f>IF(K82&lt;=0,0,MIN(AY83,AO83))</f>
      </c>
      <c r="BJ83" s="4">
        <f>IF(L82&lt;=0,0,MIN(AZ83,AP83))</f>
      </c>
      <c r="BK83" s="4">
        <f>IF(M82&lt;=0,0,MIN(BA83,AQ83))</f>
      </c>
      <c r="BL83" s="4">
        <f>IF(N82&lt;=0,0,MIN(BB83,AR83))</f>
      </c>
      <c r="BM83" s="4">
        <f>IF(O82&lt;=0,0,MIN(BC83,AS83))</f>
      </c>
      <c r="BN83" s="4">
        <f>IF(P82&lt;=0,0,MIN(BD83,AT83))</f>
      </c>
    </row>
    <row r="84" spans="1:66" x14ac:dyDescent="0.25">
      <c r="A84">
        <v>57</v>
      </c>
      <c r="B84" s="7">
        <f>EDATE($B$17,57)</f>
      </c>
      <c r="C84" s="4">
        <f>SUM(G84:P84)</f>
      </c>
      <c r="D84" s="4">
        <f>SUM(Q84:Z84)</f>
      </c>
      <c r="E84" s="4">
        <f>SUM(AA84:AJ84)+SUM(BE84:BN84)</f>
      </c>
      <c r="G84" s="4">
        <f>MAX(0,AK84-BE84)</f>
      </c>
      <c r="H84" s="4">
        <f>MAX(0,AL84-BF84)</f>
      </c>
      <c r="I84" s="4">
        <f>MAX(0,AM84-BG84)</f>
      </c>
      <c r="J84" s="4">
        <f>MAX(0,AN84-BH84)</f>
      </c>
      <c r="K84" s="4">
        <f>MAX(0,AO84-BI84)</f>
      </c>
      <c r="L84" s="4">
        <f>MAX(0,AP84-BJ84)</f>
      </c>
      <c r="M84" s="4">
        <f>MAX(0,AQ84-BK84)</f>
      </c>
      <c r="N84" s="4">
        <f>MAX(0,AR84-BL84)</f>
      </c>
      <c r="O84" s="4">
        <f>MAX(0,AS84-BM84)</f>
      </c>
      <c r="P84" s="4">
        <f>MAX(0,AT84-BN84)</f>
      </c>
      <c r="Q84" s="4">
        <f>IF(G83&gt;0,G83*($J$5/100/12),0)</f>
      </c>
      <c r="R84" s="4">
        <f>IF(H83&gt;0,H83*($J$6/100/12),0)</f>
      </c>
      <c r="S84" s="4">
        <f>IF(I83&gt;0,I83*($J$7/100/12),0)</f>
      </c>
      <c r="T84" s="4">
        <f>IF(J83&gt;0,J83*($J$8/100/12),0)</f>
      </c>
      <c r="U84" s="4">
        <f>IF(K83&gt;0,K83*($J$9/100/12),0)</f>
      </c>
      <c r="V84" s="4">
        <f>IF(L83&gt;0,L83*($J$10/100/12),0)</f>
      </c>
      <c r="W84" s="4">
        <f>IF(M83&gt;0,M83*($J$11/100/12),0)</f>
      </c>
      <c r="X84" s="4">
        <f>IF(N83&gt;0,N83*($J$12/100/12),0)</f>
      </c>
      <c r="Y84" s="4">
        <f>IF(O83&gt;0,O83*($J$13/100/12),0)</f>
      </c>
      <c r="Z84" s="4">
        <f>IF(P83&gt;0,P83*($J$14/100/12),0)</f>
      </c>
      <c r="AA84" s="4">
        <f>IF(G83&lt;=0,0,MIN($K$5,(G83+Q84)))</f>
      </c>
      <c r="AB84" s="4">
        <f>IF(H83&lt;=0,0,MIN($K$6,(H83+R84)))</f>
      </c>
      <c r="AC84" s="4">
        <f>IF(I83&lt;=0,0,MIN($K$7,(I83+S84)))</f>
      </c>
      <c r="AD84" s="4">
        <f>IF(J83&lt;=0,0,MIN($K$8,(J83+T84)))</f>
      </c>
      <c r="AE84" s="4">
        <f>IF(K83&lt;=0,0,MIN($K$9,(K83+U84)))</f>
      </c>
      <c r="AF84" s="4">
        <f>IF(L83&lt;=0,0,MIN($K$10,(L83+V84)))</f>
      </c>
      <c r="AG84" s="4">
        <f>IF(M83&lt;=0,0,MIN($K$11,(M83+W84)))</f>
      </c>
      <c r="AH84" s="4">
        <f>IF(N83&lt;=0,0,MIN($K$12,(N83+X84)))</f>
      </c>
      <c r="AI84" s="4">
        <f>IF(O83&lt;=0,0,MIN($K$13,(O83+Y84)))</f>
      </c>
      <c r="AJ84" s="4">
        <f>IF(P83&lt;=0,0,MIN($K$14,(P83+Z84)))</f>
      </c>
      <c r="AK84" s="4">
        <f>(G83+Q84)-AA84</f>
      </c>
      <c r="AL84" s="4">
        <f>(H83+R84)-AB84</f>
      </c>
      <c r="AM84" s="4">
        <f>(I83+S84)-AC84</f>
      </c>
      <c r="AN84" s="4">
        <f>(J83+T84)-AD84</f>
      </c>
      <c r="AO84" s="4">
        <f>(K83+U84)-AE84</f>
      </c>
      <c r="AP84" s="4">
        <f>(L83+V84)-AF84</f>
      </c>
      <c r="AQ84" s="4">
        <f>(M83+W84)-AG84</f>
      </c>
      <c r="AR84" s="4">
        <f>(N83+X84)-AH84</f>
      </c>
      <c r="AS84" s="4">
        <f>(O83+Y84)-AI84</f>
      </c>
      <c r="AT84" s="4">
        <f>(P83+Z84)-AJ84</f>
      </c>
      <c r="AU84" s="4">
        <f>$B$16+SUM($K$5:$K$14)-SUM(AA84:AJ84)</f>
      </c>
      <c r="AV84" s="4">
        <f>AU84-BE84</f>
      </c>
      <c r="AW84" s="4">
        <f>AV84-BF84</f>
      </c>
      <c r="AX84" s="4">
        <f>AW84-BG84</f>
      </c>
      <c r="AY84" s="4">
        <f>AX84-BH84</f>
      </c>
      <c r="AZ84" s="4">
        <f>AY84-BI84</f>
      </c>
      <c r="BA84" s="4">
        <f>AZ84-BJ84</f>
      </c>
      <c r="BB84" s="4">
        <f>BA84-BK84</f>
      </c>
      <c r="BC84" s="4">
        <f>BB84-BL84</f>
      </c>
      <c r="BD84" s="4">
        <f>BC84-BM84</f>
      </c>
      <c r="BE84" s="4">
        <f>IF(G83&lt;=0,0,MIN(AU84,AK84))</f>
      </c>
      <c r="BF84" s="4">
        <f>IF(H83&lt;=0,0,MIN(AV84,AL84))</f>
      </c>
      <c r="BG84" s="4">
        <f>IF(I83&lt;=0,0,MIN(AW84,AM84))</f>
      </c>
      <c r="BH84" s="4">
        <f>IF(J83&lt;=0,0,MIN(AX84,AN84))</f>
      </c>
      <c r="BI84" s="4">
        <f>IF(K83&lt;=0,0,MIN(AY84,AO84))</f>
      </c>
      <c r="BJ84" s="4">
        <f>IF(L83&lt;=0,0,MIN(AZ84,AP84))</f>
      </c>
      <c r="BK84" s="4">
        <f>IF(M83&lt;=0,0,MIN(BA84,AQ84))</f>
      </c>
      <c r="BL84" s="4">
        <f>IF(N83&lt;=0,0,MIN(BB84,AR84))</f>
      </c>
      <c r="BM84" s="4">
        <f>IF(O83&lt;=0,0,MIN(BC84,AS84))</f>
      </c>
      <c r="BN84" s="4">
        <f>IF(P83&lt;=0,0,MIN(BD84,AT84))</f>
      </c>
    </row>
    <row r="85" spans="1:66" x14ac:dyDescent="0.25">
      <c r="A85">
        <v>58</v>
      </c>
      <c r="B85" s="7">
        <f>EDATE($B$17,58)</f>
      </c>
      <c r="C85" s="4">
        <f>SUM(G85:P85)</f>
      </c>
      <c r="D85" s="4">
        <f>SUM(Q85:Z85)</f>
      </c>
      <c r="E85" s="4">
        <f>SUM(AA85:AJ85)+SUM(BE85:BN85)</f>
      </c>
      <c r="G85" s="4">
        <f>MAX(0,AK85-BE85)</f>
      </c>
      <c r="H85" s="4">
        <f>MAX(0,AL85-BF85)</f>
      </c>
      <c r="I85" s="4">
        <f>MAX(0,AM85-BG85)</f>
      </c>
      <c r="J85" s="4">
        <f>MAX(0,AN85-BH85)</f>
      </c>
      <c r="K85" s="4">
        <f>MAX(0,AO85-BI85)</f>
      </c>
      <c r="L85" s="4">
        <f>MAX(0,AP85-BJ85)</f>
      </c>
      <c r="M85" s="4">
        <f>MAX(0,AQ85-BK85)</f>
      </c>
      <c r="N85" s="4">
        <f>MAX(0,AR85-BL85)</f>
      </c>
      <c r="O85" s="4">
        <f>MAX(0,AS85-BM85)</f>
      </c>
      <c r="P85" s="4">
        <f>MAX(0,AT85-BN85)</f>
      </c>
      <c r="Q85" s="4">
        <f>IF(G84&gt;0,G84*($J$5/100/12),0)</f>
      </c>
      <c r="R85" s="4">
        <f>IF(H84&gt;0,H84*($J$6/100/12),0)</f>
      </c>
      <c r="S85" s="4">
        <f>IF(I84&gt;0,I84*($J$7/100/12),0)</f>
      </c>
      <c r="T85" s="4">
        <f>IF(J84&gt;0,J84*($J$8/100/12),0)</f>
      </c>
      <c r="U85" s="4">
        <f>IF(K84&gt;0,K84*($J$9/100/12),0)</f>
      </c>
      <c r="V85" s="4">
        <f>IF(L84&gt;0,L84*($J$10/100/12),0)</f>
      </c>
      <c r="W85" s="4">
        <f>IF(M84&gt;0,M84*($J$11/100/12),0)</f>
      </c>
      <c r="X85" s="4">
        <f>IF(N84&gt;0,N84*($J$12/100/12),0)</f>
      </c>
      <c r="Y85" s="4">
        <f>IF(O84&gt;0,O84*($J$13/100/12),0)</f>
      </c>
      <c r="Z85" s="4">
        <f>IF(P84&gt;0,P84*($J$14/100/12),0)</f>
      </c>
      <c r="AA85" s="4">
        <f>IF(G84&lt;=0,0,MIN($K$5,(G84+Q85)))</f>
      </c>
      <c r="AB85" s="4">
        <f>IF(H84&lt;=0,0,MIN($K$6,(H84+R85)))</f>
      </c>
      <c r="AC85" s="4">
        <f>IF(I84&lt;=0,0,MIN($K$7,(I84+S85)))</f>
      </c>
      <c r="AD85" s="4">
        <f>IF(J84&lt;=0,0,MIN($K$8,(J84+T85)))</f>
      </c>
      <c r="AE85" s="4">
        <f>IF(K84&lt;=0,0,MIN($K$9,(K84+U85)))</f>
      </c>
      <c r="AF85" s="4">
        <f>IF(L84&lt;=0,0,MIN($K$10,(L84+V85)))</f>
      </c>
      <c r="AG85" s="4">
        <f>IF(M84&lt;=0,0,MIN($K$11,(M84+W85)))</f>
      </c>
      <c r="AH85" s="4">
        <f>IF(N84&lt;=0,0,MIN($K$12,(N84+X85)))</f>
      </c>
      <c r="AI85" s="4">
        <f>IF(O84&lt;=0,0,MIN($K$13,(O84+Y85)))</f>
      </c>
      <c r="AJ85" s="4">
        <f>IF(P84&lt;=0,0,MIN($K$14,(P84+Z85)))</f>
      </c>
      <c r="AK85" s="4">
        <f>(G84+Q85)-AA85</f>
      </c>
      <c r="AL85" s="4">
        <f>(H84+R85)-AB85</f>
      </c>
      <c r="AM85" s="4">
        <f>(I84+S85)-AC85</f>
      </c>
      <c r="AN85" s="4">
        <f>(J84+T85)-AD85</f>
      </c>
      <c r="AO85" s="4">
        <f>(K84+U85)-AE85</f>
      </c>
      <c r="AP85" s="4">
        <f>(L84+V85)-AF85</f>
      </c>
      <c r="AQ85" s="4">
        <f>(M84+W85)-AG85</f>
      </c>
      <c r="AR85" s="4">
        <f>(N84+X85)-AH85</f>
      </c>
      <c r="AS85" s="4">
        <f>(O84+Y85)-AI85</f>
      </c>
      <c r="AT85" s="4">
        <f>(P84+Z85)-AJ85</f>
      </c>
      <c r="AU85" s="4">
        <f>$B$16+SUM($K$5:$K$14)-SUM(AA85:AJ85)</f>
      </c>
      <c r="AV85" s="4">
        <f>AU85-BE85</f>
      </c>
      <c r="AW85" s="4">
        <f>AV85-BF85</f>
      </c>
      <c r="AX85" s="4">
        <f>AW85-BG85</f>
      </c>
      <c r="AY85" s="4">
        <f>AX85-BH85</f>
      </c>
      <c r="AZ85" s="4">
        <f>AY85-BI85</f>
      </c>
      <c r="BA85" s="4">
        <f>AZ85-BJ85</f>
      </c>
      <c r="BB85" s="4">
        <f>BA85-BK85</f>
      </c>
      <c r="BC85" s="4">
        <f>BB85-BL85</f>
      </c>
      <c r="BD85" s="4">
        <f>BC85-BM85</f>
      </c>
      <c r="BE85" s="4">
        <f>IF(G84&lt;=0,0,MIN(AU85,AK85))</f>
      </c>
      <c r="BF85" s="4">
        <f>IF(H84&lt;=0,0,MIN(AV85,AL85))</f>
      </c>
      <c r="BG85" s="4">
        <f>IF(I84&lt;=0,0,MIN(AW85,AM85))</f>
      </c>
      <c r="BH85" s="4">
        <f>IF(J84&lt;=0,0,MIN(AX85,AN85))</f>
      </c>
      <c r="BI85" s="4">
        <f>IF(K84&lt;=0,0,MIN(AY85,AO85))</f>
      </c>
      <c r="BJ85" s="4">
        <f>IF(L84&lt;=0,0,MIN(AZ85,AP85))</f>
      </c>
      <c r="BK85" s="4">
        <f>IF(M84&lt;=0,0,MIN(BA85,AQ85))</f>
      </c>
      <c r="BL85" s="4">
        <f>IF(N84&lt;=0,0,MIN(BB85,AR85))</f>
      </c>
      <c r="BM85" s="4">
        <f>IF(O84&lt;=0,0,MIN(BC85,AS85))</f>
      </c>
      <c r="BN85" s="4">
        <f>IF(P84&lt;=0,0,MIN(BD85,AT85))</f>
      </c>
    </row>
    <row r="86" spans="1:66" x14ac:dyDescent="0.25">
      <c r="A86">
        <v>59</v>
      </c>
      <c r="B86" s="7">
        <f>EDATE($B$17,59)</f>
      </c>
      <c r="C86" s="4">
        <f>SUM(G86:P86)</f>
      </c>
      <c r="D86" s="4">
        <f>SUM(Q86:Z86)</f>
      </c>
      <c r="E86" s="4">
        <f>SUM(AA86:AJ86)+SUM(BE86:BN86)</f>
      </c>
      <c r="G86" s="4">
        <f>MAX(0,AK86-BE86)</f>
      </c>
      <c r="H86" s="4">
        <f>MAX(0,AL86-BF86)</f>
      </c>
      <c r="I86" s="4">
        <f>MAX(0,AM86-BG86)</f>
      </c>
      <c r="J86" s="4">
        <f>MAX(0,AN86-BH86)</f>
      </c>
      <c r="K86" s="4">
        <f>MAX(0,AO86-BI86)</f>
      </c>
      <c r="L86" s="4">
        <f>MAX(0,AP86-BJ86)</f>
      </c>
      <c r="M86" s="4">
        <f>MAX(0,AQ86-BK86)</f>
      </c>
      <c r="N86" s="4">
        <f>MAX(0,AR86-BL86)</f>
      </c>
      <c r="O86" s="4">
        <f>MAX(0,AS86-BM86)</f>
      </c>
      <c r="P86" s="4">
        <f>MAX(0,AT86-BN86)</f>
      </c>
      <c r="Q86" s="4">
        <f>IF(G85&gt;0,G85*($J$5/100/12),0)</f>
      </c>
      <c r="R86" s="4">
        <f>IF(H85&gt;0,H85*($J$6/100/12),0)</f>
      </c>
      <c r="S86" s="4">
        <f>IF(I85&gt;0,I85*($J$7/100/12),0)</f>
      </c>
      <c r="T86" s="4">
        <f>IF(J85&gt;0,J85*($J$8/100/12),0)</f>
      </c>
      <c r="U86" s="4">
        <f>IF(K85&gt;0,K85*($J$9/100/12),0)</f>
      </c>
      <c r="V86" s="4">
        <f>IF(L85&gt;0,L85*($J$10/100/12),0)</f>
      </c>
      <c r="W86" s="4">
        <f>IF(M85&gt;0,M85*($J$11/100/12),0)</f>
      </c>
      <c r="X86" s="4">
        <f>IF(N85&gt;0,N85*($J$12/100/12),0)</f>
      </c>
      <c r="Y86" s="4">
        <f>IF(O85&gt;0,O85*($J$13/100/12),0)</f>
      </c>
      <c r="Z86" s="4">
        <f>IF(P85&gt;0,P85*($J$14/100/12),0)</f>
      </c>
      <c r="AA86" s="4">
        <f>IF(G85&lt;=0,0,MIN($K$5,(G85+Q86)))</f>
      </c>
      <c r="AB86" s="4">
        <f>IF(H85&lt;=0,0,MIN($K$6,(H85+R86)))</f>
      </c>
      <c r="AC86" s="4">
        <f>IF(I85&lt;=0,0,MIN($K$7,(I85+S86)))</f>
      </c>
      <c r="AD86" s="4">
        <f>IF(J85&lt;=0,0,MIN($K$8,(J85+T86)))</f>
      </c>
      <c r="AE86" s="4">
        <f>IF(K85&lt;=0,0,MIN($K$9,(K85+U86)))</f>
      </c>
      <c r="AF86" s="4">
        <f>IF(L85&lt;=0,0,MIN($K$10,(L85+V86)))</f>
      </c>
      <c r="AG86" s="4">
        <f>IF(M85&lt;=0,0,MIN($K$11,(M85+W86)))</f>
      </c>
      <c r="AH86" s="4">
        <f>IF(N85&lt;=0,0,MIN($K$12,(N85+X86)))</f>
      </c>
      <c r="AI86" s="4">
        <f>IF(O85&lt;=0,0,MIN($K$13,(O85+Y86)))</f>
      </c>
      <c r="AJ86" s="4">
        <f>IF(P85&lt;=0,0,MIN($K$14,(P85+Z86)))</f>
      </c>
      <c r="AK86" s="4">
        <f>(G85+Q86)-AA86</f>
      </c>
      <c r="AL86" s="4">
        <f>(H85+R86)-AB86</f>
      </c>
      <c r="AM86" s="4">
        <f>(I85+S86)-AC86</f>
      </c>
      <c r="AN86" s="4">
        <f>(J85+T86)-AD86</f>
      </c>
      <c r="AO86" s="4">
        <f>(K85+U86)-AE86</f>
      </c>
      <c r="AP86" s="4">
        <f>(L85+V86)-AF86</f>
      </c>
      <c r="AQ86" s="4">
        <f>(M85+W86)-AG86</f>
      </c>
      <c r="AR86" s="4">
        <f>(N85+X86)-AH86</f>
      </c>
      <c r="AS86" s="4">
        <f>(O85+Y86)-AI86</f>
      </c>
      <c r="AT86" s="4">
        <f>(P85+Z86)-AJ86</f>
      </c>
      <c r="AU86" s="4">
        <f>$B$16+SUM($K$5:$K$14)-SUM(AA86:AJ86)</f>
      </c>
      <c r="AV86" s="4">
        <f>AU86-BE86</f>
      </c>
      <c r="AW86" s="4">
        <f>AV86-BF86</f>
      </c>
      <c r="AX86" s="4">
        <f>AW86-BG86</f>
      </c>
      <c r="AY86" s="4">
        <f>AX86-BH86</f>
      </c>
      <c r="AZ86" s="4">
        <f>AY86-BI86</f>
      </c>
      <c r="BA86" s="4">
        <f>AZ86-BJ86</f>
      </c>
      <c r="BB86" s="4">
        <f>BA86-BK86</f>
      </c>
      <c r="BC86" s="4">
        <f>BB86-BL86</f>
      </c>
      <c r="BD86" s="4">
        <f>BC86-BM86</f>
      </c>
      <c r="BE86" s="4">
        <f>IF(G85&lt;=0,0,MIN(AU86,AK86))</f>
      </c>
      <c r="BF86" s="4">
        <f>IF(H85&lt;=0,0,MIN(AV86,AL86))</f>
      </c>
      <c r="BG86" s="4">
        <f>IF(I85&lt;=0,0,MIN(AW86,AM86))</f>
      </c>
      <c r="BH86" s="4">
        <f>IF(J85&lt;=0,0,MIN(AX86,AN86))</f>
      </c>
      <c r="BI86" s="4">
        <f>IF(K85&lt;=0,0,MIN(AY86,AO86))</f>
      </c>
      <c r="BJ86" s="4">
        <f>IF(L85&lt;=0,0,MIN(AZ86,AP86))</f>
      </c>
      <c r="BK86" s="4">
        <f>IF(M85&lt;=0,0,MIN(BA86,AQ86))</f>
      </c>
      <c r="BL86" s="4">
        <f>IF(N85&lt;=0,0,MIN(BB86,AR86))</f>
      </c>
      <c r="BM86" s="4">
        <f>IF(O85&lt;=0,0,MIN(BC86,AS86))</f>
      </c>
      <c r="BN86" s="4">
        <f>IF(P85&lt;=0,0,MIN(BD86,AT86))</f>
      </c>
    </row>
    <row r="87" spans="1:66" x14ac:dyDescent="0.25">
      <c r="A87">
        <v>60</v>
      </c>
      <c r="B87" s="7">
        <f>EDATE($B$17,60)</f>
      </c>
      <c r="C87" s="4">
        <f>SUM(G87:P87)</f>
      </c>
      <c r="D87" s="4">
        <f>SUM(Q87:Z87)</f>
      </c>
      <c r="E87" s="4">
        <f>SUM(AA87:AJ87)+SUM(BE87:BN87)</f>
      </c>
      <c r="G87" s="4">
        <f>MAX(0,AK87-BE87)</f>
      </c>
      <c r="H87" s="4">
        <f>MAX(0,AL87-BF87)</f>
      </c>
      <c r="I87" s="4">
        <f>MAX(0,AM87-BG87)</f>
      </c>
      <c r="J87" s="4">
        <f>MAX(0,AN87-BH87)</f>
      </c>
      <c r="K87" s="4">
        <f>MAX(0,AO87-BI87)</f>
      </c>
      <c r="L87" s="4">
        <f>MAX(0,AP87-BJ87)</f>
      </c>
      <c r="M87" s="4">
        <f>MAX(0,AQ87-BK87)</f>
      </c>
      <c r="N87" s="4">
        <f>MAX(0,AR87-BL87)</f>
      </c>
      <c r="O87" s="4">
        <f>MAX(0,AS87-BM87)</f>
      </c>
      <c r="P87" s="4">
        <f>MAX(0,AT87-BN87)</f>
      </c>
      <c r="Q87" s="4">
        <f>IF(G86&gt;0,G86*($J$5/100/12),0)</f>
      </c>
      <c r="R87" s="4">
        <f>IF(H86&gt;0,H86*($J$6/100/12),0)</f>
      </c>
      <c r="S87" s="4">
        <f>IF(I86&gt;0,I86*($J$7/100/12),0)</f>
      </c>
      <c r="T87" s="4">
        <f>IF(J86&gt;0,J86*($J$8/100/12),0)</f>
      </c>
      <c r="U87" s="4">
        <f>IF(K86&gt;0,K86*($J$9/100/12),0)</f>
      </c>
      <c r="V87" s="4">
        <f>IF(L86&gt;0,L86*($J$10/100/12),0)</f>
      </c>
      <c r="W87" s="4">
        <f>IF(M86&gt;0,M86*($J$11/100/12),0)</f>
      </c>
      <c r="X87" s="4">
        <f>IF(N86&gt;0,N86*($J$12/100/12),0)</f>
      </c>
      <c r="Y87" s="4">
        <f>IF(O86&gt;0,O86*($J$13/100/12),0)</f>
      </c>
      <c r="Z87" s="4">
        <f>IF(P86&gt;0,P86*($J$14/100/12),0)</f>
      </c>
      <c r="AA87" s="4">
        <f>IF(G86&lt;=0,0,MIN($K$5,(G86+Q87)))</f>
      </c>
      <c r="AB87" s="4">
        <f>IF(H86&lt;=0,0,MIN($K$6,(H86+R87)))</f>
      </c>
      <c r="AC87" s="4">
        <f>IF(I86&lt;=0,0,MIN($K$7,(I86+S87)))</f>
      </c>
      <c r="AD87" s="4">
        <f>IF(J86&lt;=0,0,MIN($K$8,(J86+T87)))</f>
      </c>
      <c r="AE87" s="4">
        <f>IF(K86&lt;=0,0,MIN($K$9,(K86+U87)))</f>
      </c>
      <c r="AF87" s="4">
        <f>IF(L86&lt;=0,0,MIN($K$10,(L86+V87)))</f>
      </c>
      <c r="AG87" s="4">
        <f>IF(M86&lt;=0,0,MIN($K$11,(M86+W87)))</f>
      </c>
      <c r="AH87" s="4">
        <f>IF(N86&lt;=0,0,MIN($K$12,(N86+X87)))</f>
      </c>
      <c r="AI87" s="4">
        <f>IF(O86&lt;=0,0,MIN($K$13,(O86+Y87)))</f>
      </c>
      <c r="AJ87" s="4">
        <f>IF(P86&lt;=0,0,MIN($K$14,(P86+Z87)))</f>
      </c>
      <c r="AK87" s="4">
        <f>(G86+Q87)-AA87</f>
      </c>
      <c r="AL87" s="4">
        <f>(H86+R87)-AB87</f>
      </c>
      <c r="AM87" s="4">
        <f>(I86+S87)-AC87</f>
      </c>
      <c r="AN87" s="4">
        <f>(J86+T87)-AD87</f>
      </c>
      <c r="AO87" s="4">
        <f>(K86+U87)-AE87</f>
      </c>
      <c r="AP87" s="4">
        <f>(L86+V87)-AF87</f>
      </c>
      <c r="AQ87" s="4">
        <f>(M86+W87)-AG87</f>
      </c>
      <c r="AR87" s="4">
        <f>(N86+X87)-AH87</f>
      </c>
      <c r="AS87" s="4">
        <f>(O86+Y87)-AI87</f>
      </c>
      <c r="AT87" s="4">
        <f>(P86+Z87)-AJ87</f>
      </c>
      <c r="AU87" s="4">
        <f>$B$16+SUM($K$5:$K$14)-SUM(AA87:AJ87)</f>
      </c>
      <c r="AV87" s="4">
        <f>AU87-BE87</f>
      </c>
      <c r="AW87" s="4">
        <f>AV87-BF87</f>
      </c>
      <c r="AX87" s="4">
        <f>AW87-BG87</f>
      </c>
      <c r="AY87" s="4">
        <f>AX87-BH87</f>
      </c>
      <c r="AZ87" s="4">
        <f>AY87-BI87</f>
      </c>
      <c r="BA87" s="4">
        <f>AZ87-BJ87</f>
      </c>
      <c r="BB87" s="4">
        <f>BA87-BK87</f>
      </c>
      <c r="BC87" s="4">
        <f>BB87-BL87</f>
      </c>
      <c r="BD87" s="4">
        <f>BC87-BM87</f>
      </c>
      <c r="BE87" s="4">
        <f>IF(G86&lt;=0,0,MIN(AU87,AK87))</f>
      </c>
      <c r="BF87" s="4">
        <f>IF(H86&lt;=0,0,MIN(AV87,AL87))</f>
      </c>
      <c r="BG87" s="4">
        <f>IF(I86&lt;=0,0,MIN(AW87,AM87))</f>
      </c>
      <c r="BH87" s="4">
        <f>IF(J86&lt;=0,0,MIN(AX87,AN87))</f>
      </c>
      <c r="BI87" s="4">
        <f>IF(K86&lt;=0,0,MIN(AY87,AO87))</f>
      </c>
      <c r="BJ87" s="4">
        <f>IF(L86&lt;=0,0,MIN(AZ87,AP87))</f>
      </c>
      <c r="BK87" s="4">
        <f>IF(M86&lt;=0,0,MIN(BA87,AQ87))</f>
      </c>
      <c r="BL87" s="4">
        <f>IF(N86&lt;=0,0,MIN(BB87,AR87))</f>
      </c>
      <c r="BM87" s="4">
        <f>IF(O86&lt;=0,0,MIN(BC87,AS87))</f>
      </c>
      <c r="BN87" s="4">
        <f>IF(P86&lt;=0,0,MIN(BD87,AT87))</f>
      </c>
    </row>
    <row r="88" spans="1:66" x14ac:dyDescent="0.25">
      <c r="A88">
        <v>61</v>
      </c>
      <c r="B88" s="7">
        <f>EDATE($B$17,61)</f>
      </c>
      <c r="C88" s="4">
        <f>SUM(G88:P88)</f>
      </c>
      <c r="D88" s="4">
        <f>SUM(Q88:Z88)</f>
      </c>
      <c r="E88" s="4">
        <f>SUM(AA88:AJ88)+SUM(BE88:BN88)</f>
      </c>
      <c r="G88" s="4">
        <f>MAX(0,AK88-BE88)</f>
      </c>
      <c r="H88" s="4">
        <f>MAX(0,AL88-BF88)</f>
      </c>
      <c r="I88" s="4">
        <f>MAX(0,AM88-BG88)</f>
      </c>
      <c r="J88" s="4">
        <f>MAX(0,AN88-BH88)</f>
      </c>
      <c r="K88" s="4">
        <f>MAX(0,AO88-BI88)</f>
      </c>
      <c r="L88" s="4">
        <f>MAX(0,AP88-BJ88)</f>
      </c>
      <c r="M88" s="4">
        <f>MAX(0,AQ88-BK88)</f>
      </c>
      <c r="N88" s="4">
        <f>MAX(0,AR88-BL88)</f>
      </c>
      <c r="O88" s="4">
        <f>MAX(0,AS88-BM88)</f>
      </c>
      <c r="P88" s="4">
        <f>MAX(0,AT88-BN88)</f>
      </c>
      <c r="Q88" s="4">
        <f>IF(G87&gt;0,G87*($J$5/100/12),0)</f>
      </c>
      <c r="R88" s="4">
        <f>IF(H87&gt;0,H87*($J$6/100/12),0)</f>
      </c>
      <c r="S88" s="4">
        <f>IF(I87&gt;0,I87*($J$7/100/12),0)</f>
      </c>
      <c r="T88" s="4">
        <f>IF(J87&gt;0,J87*($J$8/100/12),0)</f>
      </c>
      <c r="U88" s="4">
        <f>IF(K87&gt;0,K87*($J$9/100/12),0)</f>
      </c>
      <c r="V88" s="4">
        <f>IF(L87&gt;0,L87*($J$10/100/12),0)</f>
      </c>
      <c r="W88" s="4">
        <f>IF(M87&gt;0,M87*($J$11/100/12),0)</f>
      </c>
      <c r="X88" s="4">
        <f>IF(N87&gt;0,N87*($J$12/100/12),0)</f>
      </c>
      <c r="Y88" s="4">
        <f>IF(O87&gt;0,O87*($J$13/100/12),0)</f>
      </c>
      <c r="Z88" s="4">
        <f>IF(P87&gt;0,P87*($J$14/100/12),0)</f>
      </c>
      <c r="AA88" s="4">
        <f>IF(G87&lt;=0,0,MIN($K$5,(G87+Q88)))</f>
      </c>
      <c r="AB88" s="4">
        <f>IF(H87&lt;=0,0,MIN($K$6,(H87+R88)))</f>
      </c>
      <c r="AC88" s="4">
        <f>IF(I87&lt;=0,0,MIN($K$7,(I87+S88)))</f>
      </c>
      <c r="AD88" s="4">
        <f>IF(J87&lt;=0,0,MIN($K$8,(J87+T88)))</f>
      </c>
      <c r="AE88" s="4">
        <f>IF(K87&lt;=0,0,MIN($K$9,(K87+U88)))</f>
      </c>
      <c r="AF88" s="4">
        <f>IF(L87&lt;=0,0,MIN($K$10,(L87+V88)))</f>
      </c>
      <c r="AG88" s="4">
        <f>IF(M87&lt;=0,0,MIN($K$11,(M87+W88)))</f>
      </c>
      <c r="AH88" s="4">
        <f>IF(N87&lt;=0,0,MIN($K$12,(N87+X88)))</f>
      </c>
      <c r="AI88" s="4">
        <f>IF(O87&lt;=0,0,MIN($K$13,(O87+Y88)))</f>
      </c>
      <c r="AJ88" s="4">
        <f>IF(P87&lt;=0,0,MIN($K$14,(P87+Z88)))</f>
      </c>
      <c r="AK88" s="4">
        <f>(G87+Q88)-AA88</f>
      </c>
      <c r="AL88" s="4">
        <f>(H87+R88)-AB88</f>
      </c>
      <c r="AM88" s="4">
        <f>(I87+S88)-AC88</f>
      </c>
      <c r="AN88" s="4">
        <f>(J87+T88)-AD88</f>
      </c>
      <c r="AO88" s="4">
        <f>(K87+U88)-AE88</f>
      </c>
      <c r="AP88" s="4">
        <f>(L87+V88)-AF88</f>
      </c>
      <c r="AQ88" s="4">
        <f>(M87+W88)-AG88</f>
      </c>
      <c r="AR88" s="4">
        <f>(N87+X88)-AH88</f>
      </c>
      <c r="AS88" s="4">
        <f>(O87+Y88)-AI88</f>
      </c>
      <c r="AT88" s="4">
        <f>(P87+Z88)-AJ88</f>
      </c>
      <c r="AU88" s="4">
        <f>$B$16+SUM($K$5:$K$14)-SUM(AA88:AJ88)</f>
      </c>
      <c r="AV88" s="4">
        <f>AU88-BE88</f>
      </c>
      <c r="AW88" s="4">
        <f>AV88-BF88</f>
      </c>
      <c r="AX88" s="4">
        <f>AW88-BG88</f>
      </c>
      <c r="AY88" s="4">
        <f>AX88-BH88</f>
      </c>
      <c r="AZ88" s="4">
        <f>AY88-BI88</f>
      </c>
      <c r="BA88" s="4">
        <f>AZ88-BJ88</f>
      </c>
      <c r="BB88" s="4">
        <f>BA88-BK88</f>
      </c>
      <c r="BC88" s="4">
        <f>BB88-BL88</f>
      </c>
      <c r="BD88" s="4">
        <f>BC88-BM88</f>
      </c>
      <c r="BE88" s="4">
        <f>IF(G87&lt;=0,0,MIN(AU88,AK88))</f>
      </c>
      <c r="BF88" s="4">
        <f>IF(H87&lt;=0,0,MIN(AV88,AL88))</f>
      </c>
      <c r="BG88" s="4">
        <f>IF(I87&lt;=0,0,MIN(AW88,AM88))</f>
      </c>
      <c r="BH88" s="4">
        <f>IF(J87&lt;=0,0,MIN(AX88,AN88))</f>
      </c>
      <c r="BI88" s="4">
        <f>IF(K87&lt;=0,0,MIN(AY88,AO88))</f>
      </c>
      <c r="BJ88" s="4">
        <f>IF(L87&lt;=0,0,MIN(AZ88,AP88))</f>
      </c>
      <c r="BK88" s="4">
        <f>IF(M87&lt;=0,0,MIN(BA88,AQ88))</f>
      </c>
      <c r="BL88" s="4">
        <f>IF(N87&lt;=0,0,MIN(BB88,AR88))</f>
      </c>
      <c r="BM88" s="4">
        <f>IF(O87&lt;=0,0,MIN(BC88,AS88))</f>
      </c>
      <c r="BN88" s="4">
        <f>IF(P87&lt;=0,0,MIN(BD88,AT88))</f>
      </c>
    </row>
    <row r="89" spans="1:66" x14ac:dyDescent="0.25">
      <c r="A89">
        <v>62</v>
      </c>
      <c r="B89" s="7">
        <f>EDATE($B$17,62)</f>
      </c>
      <c r="C89" s="4">
        <f>SUM(G89:P89)</f>
      </c>
      <c r="D89" s="4">
        <f>SUM(Q89:Z89)</f>
      </c>
      <c r="E89" s="4">
        <f>SUM(AA89:AJ89)+SUM(BE89:BN89)</f>
      </c>
      <c r="G89" s="4">
        <f>MAX(0,AK89-BE89)</f>
      </c>
      <c r="H89" s="4">
        <f>MAX(0,AL89-BF89)</f>
      </c>
      <c r="I89" s="4">
        <f>MAX(0,AM89-BG89)</f>
      </c>
      <c r="J89" s="4">
        <f>MAX(0,AN89-BH89)</f>
      </c>
      <c r="K89" s="4">
        <f>MAX(0,AO89-BI89)</f>
      </c>
      <c r="L89" s="4">
        <f>MAX(0,AP89-BJ89)</f>
      </c>
      <c r="M89" s="4">
        <f>MAX(0,AQ89-BK89)</f>
      </c>
      <c r="N89" s="4">
        <f>MAX(0,AR89-BL89)</f>
      </c>
      <c r="O89" s="4">
        <f>MAX(0,AS89-BM89)</f>
      </c>
      <c r="P89" s="4">
        <f>MAX(0,AT89-BN89)</f>
      </c>
      <c r="Q89" s="4">
        <f>IF(G88&gt;0,G88*($J$5/100/12),0)</f>
      </c>
      <c r="R89" s="4">
        <f>IF(H88&gt;0,H88*($J$6/100/12),0)</f>
      </c>
      <c r="S89" s="4">
        <f>IF(I88&gt;0,I88*($J$7/100/12),0)</f>
      </c>
      <c r="T89" s="4">
        <f>IF(J88&gt;0,J88*($J$8/100/12),0)</f>
      </c>
      <c r="U89" s="4">
        <f>IF(K88&gt;0,K88*($J$9/100/12),0)</f>
      </c>
      <c r="V89" s="4">
        <f>IF(L88&gt;0,L88*($J$10/100/12),0)</f>
      </c>
      <c r="W89" s="4">
        <f>IF(M88&gt;0,M88*($J$11/100/12),0)</f>
      </c>
      <c r="X89" s="4">
        <f>IF(N88&gt;0,N88*($J$12/100/12),0)</f>
      </c>
      <c r="Y89" s="4">
        <f>IF(O88&gt;0,O88*($J$13/100/12),0)</f>
      </c>
      <c r="Z89" s="4">
        <f>IF(P88&gt;0,P88*($J$14/100/12),0)</f>
      </c>
      <c r="AA89" s="4">
        <f>IF(G88&lt;=0,0,MIN($K$5,(G88+Q89)))</f>
      </c>
      <c r="AB89" s="4">
        <f>IF(H88&lt;=0,0,MIN($K$6,(H88+R89)))</f>
      </c>
      <c r="AC89" s="4">
        <f>IF(I88&lt;=0,0,MIN($K$7,(I88+S89)))</f>
      </c>
      <c r="AD89" s="4">
        <f>IF(J88&lt;=0,0,MIN($K$8,(J88+T89)))</f>
      </c>
      <c r="AE89" s="4">
        <f>IF(K88&lt;=0,0,MIN($K$9,(K88+U89)))</f>
      </c>
      <c r="AF89" s="4">
        <f>IF(L88&lt;=0,0,MIN($K$10,(L88+V89)))</f>
      </c>
      <c r="AG89" s="4">
        <f>IF(M88&lt;=0,0,MIN($K$11,(M88+W89)))</f>
      </c>
      <c r="AH89" s="4">
        <f>IF(N88&lt;=0,0,MIN($K$12,(N88+X89)))</f>
      </c>
      <c r="AI89" s="4">
        <f>IF(O88&lt;=0,0,MIN($K$13,(O88+Y89)))</f>
      </c>
      <c r="AJ89" s="4">
        <f>IF(P88&lt;=0,0,MIN($K$14,(P88+Z89)))</f>
      </c>
      <c r="AK89" s="4">
        <f>(G88+Q89)-AA89</f>
      </c>
      <c r="AL89" s="4">
        <f>(H88+R89)-AB89</f>
      </c>
      <c r="AM89" s="4">
        <f>(I88+S89)-AC89</f>
      </c>
      <c r="AN89" s="4">
        <f>(J88+T89)-AD89</f>
      </c>
      <c r="AO89" s="4">
        <f>(K88+U89)-AE89</f>
      </c>
      <c r="AP89" s="4">
        <f>(L88+V89)-AF89</f>
      </c>
      <c r="AQ89" s="4">
        <f>(M88+W89)-AG89</f>
      </c>
      <c r="AR89" s="4">
        <f>(N88+X89)-AH89</f>
      </c>
      <c r="AS89" s="4">
        <f>(O88+Y89)-AI89</f>
      </c>
      <c r="AT89" s="4">
        <f>(P88+Z89)-AJ89</f>
      </c>
      <c r="AU89" s="4">
        <f>$B$16+SUM($K$5:$K$14)-SUM(AA89:AJ89)</f>
      </c>
      <c r="AV89" s="4">
        <f>AU89-BE89</f>
      </c>
      <c r="AW89" s="4">
        <f>AV89-BF89</f>
      </c>
      <c r="AX89" s="4">
        <f>AW89-BG89</f>
      </c>
      <c r="AY89" s="4">
        <f>AX89-BH89</f>
      </c>
      <c r="AZ89" s="4">
        <f>AY89-BI89</f>
      </c>
      <c r="BA89" s="4">
        <f>AZ89-BJ89</f>
      </c>
      <c r="BB89" s="4">
        <f>BA89-BK89</f>
      </c>
      <c r="BC89" s="4">
        <f>BB89-BL89</f>
      </c>
      <c r="BD89" s="4">
        <f>BC89-BM89</f>
      </c>
      <c r="BE89" s="4">
        <f>IF(G88&lt;=0,0,MIN(AU89,AK89))</f>
      </c>
      <c r="BF89" s="4">
        <f>IF(H88&lt;=0,0,MIN(AV89,AL89))</f>
      </c>
      <c r="BG89" s="4">
        <f>IF(I88&lt;=0,0,MIN(AW89,AM89))</f>
      </c>
      <c r="BH89" s="4">
        <f>IF(J88&lt;=0,0,MIN(AX89,AN89))</f>
      </c>
      <c r="BI89" s="4">
        <f>IF(K88&lt;=0,0,MIN(AY89,AO89))</f>
      </c>
      <c r="BJ89" s="4">
        <f>IF(L88&lt;=0,0,MIN(AZ89,AP89))</f>
      </c>
      <c r="BK89" s="4">
        <f>IF(M88&lt;=0,0,MIN(BA89,AQ89))</f>
      </c>
      <c r="BL89" s="4">
        <f>IF(N88&lt;=0,0,MIN(BB89,AR89))</f>
      </c>
      <c r="BM89" s="4">
        <f>IF(O88&lt;=0,0,MIN(BC89,AS89))</f>
      </c>
      <c r="BN89" s="4">
        <f>IF(P88&lt;=0,0,MIN(BD89,AT89))</f>
      </c>
    </row>
    <row r="90" spans="1:66" x14ac:dyDescent="0.25">
      <c r="A90">
        <v>63</v>
      </c>
      <c r="B90" s="7">
        <f>EDATE($B$17,63)</f>
      </c>
      <c r="C90" s="4">
        <f>SUM(G90:P90)</f>
      </c>
      <c r="D90" s="4">
        <f>SUM(Q90:Z90)</f>
      </c>
      <c r="E90" s="4">
        <f>SUM(AA90:AJ90)+SUM(BE90:BN90)</f>
      </c>
      <c r="G90" s="4">
        <f>MAX(0,AK90-BE90)</f>
      </c>
      <c r="H90" s="4">
        <f>MAX(0,AL90-BF90)</f>
      </c>
      <c r="I90" s="4">
        <f>MAX(0,AM90-BG90)</f>
      </c>
      <c r="J90" s="4">
        <f>MAX(0,AN90-BH90)</f>
      </c>
      <c r="K90" s="4">
        <f>MAX(0,AO90-BI90)</f>
      </c>
      <c r="L90" s="4">
        <f>MAX(0,AP90-BJ90)</f>
      </c>
      <c r="M90" s="4">
        <f>MAX(0,AQ90-BK90)</f>
      </c>
      <c r="N90" s="4">
        <f>MAX(0,AR90-BL90)</f>
      </c>
      <c r="O90" s="4">
        <f>MAX(0,AS90-BM90)</f>
      </c>
      <c r="P90" s="4">
        <f>MAX(0,AT90-BN90)</f>
      </c>
      <c r="Q90" s="4">
        <f>IF(G89&gt;0,G89*($J$5/100/12),0)</f>
      </c>
      <c r="R90" s="4">
        <f>IF(H89&gt;0,H89*($J$6/100/12),0)</f>
      </c>
      <c r="S90" s="4">
        <f>IF(I89&gt;0,I89*($J$7/100/12),0)</f>
      </c>
      <c r="T90" s="4">
        <f>IF(J89&gt;0,J89*($J$8/100/12),0)</f>
      </c>
      <c r="U90" s="4">
        <f>IF(K89&gt;0,K89*($J$9/100/12),0)</f>
      </c>
      <c r="V90" s="4">
        <f>IF(L89&gt;0,L89*($J$10/100/12),0)</f>
      </c>
      <c r="W90" s="4">
        <f>IF(M89&gt;0,M89*($J$11/100/12),0)</f>
      </c>
      <c r="X90" s="4">
        <f>IF(N89&gt;0,N89*($J$12/100/12),0)</f>
      </c>
      <c r="Y90" s="4">
        <f>IF(O89&gt;0,O89*($J$13/100/12),0)</f>
      </c>
      <c r="Z90" s="4">
        <f>IF(P89&gt;0,P89*($J$14/100/12),0)</f>
      </c>
      <c r="AA90" s="4">
        <f>IF(G89&lt;=0,0,MIN($K$5,(G89+Q90)))</f>
      </c>
      <c r="AB90" s="4">
        <f>IF(H89&lt;=0,0,MIN($K$6,(H89+R90)))</f>
      </c>
      <c r="AC90" s="4">
        <f>IF(I89&lt;=0,0,MIN($K$7,(I89+S90)))</f>
      </c>
      <c r="AD90" s="4">
        <f>IF(J89&lt;=0,0,MIN($K$8,(J89+T90)))</f>
      </c>
      <c r="AE90" s="4">
        <f>IF(K89&lt;=0,0,MIN($K$9,(K89+U90)))</f>
      </c>
      <c r="AF90" s="4">
        <f>IF(L89&lt;=0,0,MIN($K$10,(L89+V90)))</f>
      </c>
      <c r="AG90" s="4">
        <f>IF(M89&lt;=0,0,MIN($K$11,(M89+W90)))</f>
      </c>
      <c r="AH90" s="4">
        <f>IF(N89&lt;=0,0,MIN($K$12,(N89+X90)))</f>
      </c>
      <c r="AI90" s="4">
        <f>IF(O89&lt;=0,0,MIN($K$13,(O89+Y90)))</f>
      </c>
      <c r="AJ90" s="4">
        <f>IF(P89&lt;=0,0,MIN($K$14,(P89+Z90)))</f>
      </c>
      <c r="AK90" s="4">
        <f>(G89+Q90)-AA90</f>
      </c>
      <c r="AL90" s="4">
        <f>(H89+R90)-AB90</f>
      </c>
      <c r="AM90" s="4">
        <f>(I89+S90)-AC90</f>
      </c>
      <c r="AN90" s="4">
        <f>(J89+T90)-AD90</f>
      </c>
      <c r="AO90" s="4">
        <f>(K89+U90)-AE90</f>
      </c>
      <c r="AP90" s="4">
        <f>(L89+V90)-AF90</f>
      </c>
      <c r="AQ90" s="4">
        <f>(M89+W90)-AG90</f>
      </c>
      <c r="AR90" s="4">
        <f>(N89+X90)-AH90</f>
      </c>
      <c r="AS90" s="4">
        <f>(O89+Y90)-AI90</f>
      </c>
      <c r="AT90" s="4">
        <f>(P89+Z90)-AJ90</f>
      </c>
      <c r="AU90" s="4">
        <f>$B$16+SUM($K$5:$K$14)-SUM(AA90:AJ90)</f>
      </c>
      <c r="AV90" s="4">
        <f>AU90-BE90</f>
      </c>
      <c r="AW90" s="4">
        <f>AV90-BF90</f>
      </c>
      <c r="AX90" s="4">
        <f>AW90-BG90</f>
      </c>
      <c r="AY90" s="4">
        <f>AX90-BH90</f>
      </c>
      <c r="AZ90" s="4">
        <f>AY90-BI90</f>
      </c>
      <c r="BA90" s="4">
        <f>AZ90-BJ90</f>
      </c>
      <c r="BB90" s="4">
        <f>BA90-BK90</f>
      </c>
      <c r="BC90" s="4">
        <f>BB90-BL90</f>
      </c>
      <c r="BD90" s="4">
        <f>BC90-BM90</f>
      </c>
      <c r="BE90" s="4">
        <f>IF(G89&lt;=0,0,MIN(AU90,AK90))</f>
      </c>
      <c r="BF90" s="4">
        <f>IF(H89&lt;=0,0,MIN(AV90,AL90))</f>
      </c>
      <c r="BG90" s="4">
        <f>IF(I89&lt;=0,0,MIN(AW90,AM90))</f>
      </c>
      <c r="BH90" s="4">
        <f>IF(J89&lt;=0,0,MIN(AX90,AN90))</f>
      </c>
      <c r="BI90" s="4">
        <f>IF(K89&lt;=0,0,MIN(AY90,AO90))</f>
      </c>
      <c r="BJ90" s="4">
        <f>IF(L89&lt;=0,0,MIN(AZ90,AP90))</f>
      </c>
      <c r="BK90" s="4">
        <f>IF(M89&lt;=0,0,MIN(BA90,AQ90))</f>
      </c>
      <c r="BL90" s="4">
        <f>IF(N89&lt;=0,0,MIN(BB90,AR90))</f>
      </c>
      <c r="BM90" s="4">
        <f>IF(O89&lt;=0,0,MIN(BC90,AS90))</f>
      </c>
      <c r="BN90" s="4">
        <f>IF(P89&lt;=0,0,MIN(BD90,AT90))</f>
      </c>
    </row>
    <row r="91" spans="1:66" x14ac:dyDescent="0.25">
      <c r="A91">
        <v>64</v>
      </c>
      <c r="B91" s="7">
        <f>EDATE($B$17,64)</f>
      </c>
      <c r="C91" s="4">
        <f>SUM(G91:P91)</f>
      </c>
      <c r="D91" s="4">
        <f>SUM(Q91:Z91)</f>
      </c>
      <c r="E91" s="4">
        <f>SUM(AA91:AJ91)+SUM(BE91:BN91)</f>
      </c>
      <c r="G91" s="4">
        <f>MAX(0,AK91-BE91)</f>
      </c>
      <c r="H91" s="4">
        <f>MAX(0,AL91-BF91)</f>
      </c>
      <c r="I91" s="4">
        <f>MAX(0,AM91-BG91)</f>
      </c>
      <c r="J91" s="4">
        <f>MAX(0,AN91-BH91)</f>
      </c>
      <c r="K91" s="4">
        <f>MAX(0,AO91-BI91)</f>
      </c>
      <c r="L91" s="4">
        <f>MAX(0,AP91-BJ91)</f>
      </c>
      <c r="M91" s="4">
        <f>MAX(0,AQ91-BK91)</f>
      </c>
      <c r="N91" s="4">
        <f>MAX(0,AR91-BL91)</f>
      </c>
      <c r="O91" s="4">
        <f>MAX(0,AS91-BM91)</f>
      </c>
      <c r="P91" s="4">
        <f>MAX(0,AT91-BN91)</f>
      </c>
      <c r="Q91" s="4">
        <f>IF(G90&gt;0,G90*($J$5/100/12),0)</f>
      </c>
      <c r="R91" s="4">
        <f>IF(H90&gt;0,H90*($J$6/100/12),0)</f>
      </c>
      <c r="S91" s="4">
        <f>IF(I90&gt;0,I90*($J$7/100/12),0)</f>
      </c>
      <c r="T91" s="4">
        <f>IF(J90&gt;0,J90*($J$8/100/12),0)</f>
      </c>
      <c r="U91" s="4">
        <f>IF(K90&gt;0,K90*($J$9/100/12),0)</f>
      </c>
      <c r="V91" s="4">
        <f>IF(L90&gt;0,L90*($J$10/100/12),0)</f>
      </c>
      <c r="W91" s="4">
        <f>IF(M90&gt;0,M90*($J$11/100/12),0)</f>
      </c>
      <c r="X91" s="4">
        <f>IF(N90&gt;0,N90*($J$12/100/12),0)</f>
      </c>
      <c r="Y91" s="4">
        <f>IF(O90&gt;0,O90*($J$13/100/12),0)</f>
      </c>
      <c r="Z91" s="4">
        <f>IF(P90&gt;0,P90*($J$14/100/12),0)</f>
      </c>
      <c r="AA91" s="4">
        <f>IF(G90&lt;=0,0,MIN($K$5,(G90+Q91)))</f>
      </c>
      <c r="AB91" s="4">
        <f>IF(H90&lt;=0,0,MIN($K$6,(H90+R91)))</f>
      </c>
      <c r="AC91" s="4">
        <f>IF(I90&lt;=0,0,MIN($K$7,(I90+S91)))</f>
      </c>
      <c r="AD91" s="4">
        <f>IF(J90&lt;=0,0,MIN($K$8,(J90+T91)))</f>
      </c>
      <c r="AE91" s="4">
        <f>IF(K90&lt;=0,0,MIN($K$9,(K90+U91)))</f>
      </c>
      <c r="AF91" s="4">
        <f>IF(L90&lt;=0,0,MIN($K$10,(L90+V91)))</f>
      </c>
      <c r="AG91" s="4">
        <f>IF(M90&lt;=0,0,MIN($K$11,(M90+W91)))</f>
      </c>
      <c r="AH91" s="4">
        <f>IF(N90&lt;=0,0,MIN($K$12,(N90+X91)))</f>
      </c>
      <c r="AI91" s="4">
        <f>IF(O90&lt;=0,0,MIN($K$13,(O90+Y91)))</f>
      </c>
      <c r="AJ91" s="4">
        <f>IF(P90&lt;=0,0,MIN($K$14,(P90+Z91)))</f>
      </c>
      <c r="AK91" s="4">
        <f>(G90+Q91)-AA91</f>
      </c>
      <c r="AL91" s="4">
        <f>(H90+R91)-AB91</f>
      </c>
      <c r="AM91" s="4">
        <f>(I90+S91)-AC91</f>
      </c>
      <c r="AN91" s="4">
        <f>(J90+T91)-AD91</f>
      </c>
      <c r="AO91" s="4">
        <f>(K90+U91)-AE91</f>
      </c>
      <c r="AP91" s="4">
        <f>(L90+V91)-AF91</f>
      </c>
      <c r="AQ91" s="4">
        <f>(M90+W91)-AG91</f>
      </c>
      <c r="AR91" s="4">
        <f>(N90+X91)-AH91</f>
      </c>
      <c r="AS91" s="4">
        <f>(O90+Y91)-AI91</f>
      </c>
      <c r="AT91" s="4">
        <f>(P90+Z91)-AJ91</f>
      </c>
      <c r="AU91" s="4">
        <f>$B$16+SUM($K$5:$K$14)-SUM(AA91:AJ91)</f>
      </c>
      <c r="AV91" s="4">
        <f>AU91-BE91</f>
      </c>
      <c r="AW91" s="4">
        <f>AV91-BF91</f>
      </c>
      <c r="AX91" s="4">
        <f>AW91-BG91</f>
      </c>
      <c r="AY91" s="4">
        <f>AX91-BH91</f>
      </c>
      <c r="AZ91" s="4">
        <f>AY91-BI91</f>
      </c>
      <c r="BA91" s="4">
        <f>AZ91-BJ91</f>
      </c>
      <c r="BB91" s="4">
        <f>BA91-BK91</f>
      </c>
      <c r="BC91" s="4">
        <f>BB91-BL91</f>
      </c>
      <c r="BD91" s="4">
        <f>BC91-BM91</f>
      </c>
      <c r="BE91" s="4">
        <f>IF(G90&lt;=0,0,MIN(AU91,AK91))</f>
      </c>
      <c r="BF91" s="4">
        <f>IF(H90&lt;=0,0,MIN(AV91,AL91))</f>
      </c>
      <c r="BG91" s="4">
        <f>IF(I90&lt;=0,0,MIN(AW91,AM91))</f>
      </c>
      <c r="BH91" s="4">
        <f>IF(J90&lt;=0,0,MIN(AX91,AN91))</f>
      </c>
      <c r="BI91" s="4">
        <f>IF(K90&lt;=0,0,MIN(AY91,AO91))</f>
      </c>
      <c r="BJ91" s="4">
        <f>IF(L90&lt;=0,0,MIN(AZ91,AP91))</f>
      </c>
      <c r="BK91" s="4">
        <f>IF(M90&lt;=0,0,MIN(BA91,AQ91))</f>
      </c>
      <c r="BL91" s="4">
        <f>IF(N90&lt;=0,0,MIN(BB91,AR91))</f>
      </c>
      <c r="BM91" s="4">
        <f>IF(O90&lt;=0,0,MIN(BC91,AS91))</f>
      </c>
      <c r="BN91" s="4">
        <f>IF(P90&lt;=0,0,MIN(BD91,AT91))</f>
      </c>
    </row>
    <row r="92" spans="1:66" x14ac:dyDescent="0.25">
      <c r="A92">
        <v>65</v>
      </c>
      <c r="B92" s="7">
        <f>EDATE($B$17,65)</f>
      </c>
      <c r="C92" s="4">
        <f>SUM(G92:P92)</f>
      </c>
      <c r="D92" s="4">
        <f>SUM(Q92:Z92)</f>
      </c>
      <c r="E92" s="4">
        <f>SUM(AA92:AJ92)+SUM(BE92:BN92)</f>
      </c>
      <c r="G92" s="4">
        <f>MAX(0,AK92-BE92)</f>
      </c>
      <c r="H92" s="4">
        <f>MAX(0,AL92-BF92)</f>
      </c>
      <c r="I92" s="4">
        <f>MAX(0,AM92-BG92)</f>
      </c>
      <c r="J92" s="4">
        <f>MAX(0,AN92-BH92)</f>
      </c>
      <c r="K92" s="4">
        <f>MAX(0,AO92-BI92)</f>
      </c>
      <c r="L92" s="4">
        <f>MAX(0,AP92-BJ92)</f>
      </c>
      <c r="M92" s="4">
        <f>MAX(0,AQ92-BK92)</f>
      </c>
      <c r="N92" s="4">
        <f>MAX(0,AR92-BL92)</f>
      </c>
      <c r="O92" s="4">
        <f>MAX(0,AS92-BM92)</f>
      </c>
      <c r="P92" s="4">
        <f>MAX(0,AT92-BN92)</f>
      </c>
      <c r="Q92" s="4">
        <f>IF(G91&gt;0,G91*($J$5/100/12),0)</f>
      </c>
      <c r="R92" s="4">
        <f>IF(H91&gt;0,H91*($J$6/100/12),0)</f>
      </c>
      <c r="S92" s="4">
        <f>IF(I91&gt;0,I91*($J$7/100/12),0)</f>
      </c>
      <c r="T92" s="4">
        <f>IF(J91&gt;0,J91*($J$8/100/12),0)</f>
      </c>
      <c r="U92" s="4">
        <f>IF(K91&gt;0,K91*($J$9/100/12),0)</f>
      </c>
      <c r="V92" s="4">
        <f>IF(L91&gt;0,L91*($J$10/100/12),0)</f>
      </c>
      <c r="W92" s="4">
        <f>IF(M91&gt;0,M91*($J$11/100/12),0)</f>
      </c>
      <c r="X92" s="4">
        <f>IF(N91&gt;0,N91*($J$12/100/12),0)</f>
      </c>
      <c r="Y92" s="4">
        <f>IF(O91&gt;0,O91*($J$13/100/12),0)</f>
      </c>
      <c r="Z92" s="4">
        <f>IF(P91&gt;0,P91*($J$14/100/12),0)</f>
      </c>
      <c r="AA92" s="4">
        <f>IF(G91&lt;=0,0,MIN($K$5,(G91+Q92)))</f>
      </c>
      <c r="AB92" s="4">
        <f>IF(H91&lt;=0,0,MIN($K$6,(H91+R92)))</f>
      </c>
      <c r="AC92" s="4">
        <f>IF(I91&lt;=0,0,MIN($K$7,(I91+S92)))</f>
      </c>
      <c r="AD92" s="4">
        <f>IF(J91&lt;=0,0,MIN($K$8,(J91+T92)))</f>
      </c>
      <c r="AE92" s="4">
        <f>IF(K91&lt;=0,0,MIN($K$9,(K91+U92)))</f>
      </c>
      <c r="AF92" s="4">
        <f>IF(L91&lt;=0,0,MIN($K$10,(L91+V92)))</f>
      </c>
      <c r="AG92" s="4">
        <f>IF(M91&lt;=0,0,MIN($K$11,(M91+W92)))</f>
      </c>
      <c r="AH92" s="4">
        <f>IF(N91&lt;=0,0,MIN($K$12,(N91+X92)))</f>
      </c>
      <c r="AI92" s="4">
        <f>IF(O91&lt;=0,0,MIN($K$13,(O91+Y92)))</f>
      </c>
      <c r="AJ92" s="4">
        <f>IF(P91&lt;=0,0,MIN($K$14,(P91+Z92)))</f>
      </c>
      <c r="AK92" s="4">
        <f>(G91+Q92)-AA92</f>
      </c>
      <c r="AL92" s="4">
        <f>(H91+R92)-AB92</f>
      </c>
      <c r="AM92" s="4">
        <f>(I91+S92)-AC92</f>
      </c>
      <c r="AN92" s="4">
        <f>(J91+T92)-AD92</f>
      </c>
      <c r="AO92" s="4">
        <f>(K91+U92)-AE92</f>
      </c>
      <c r="AP92" s="4">
        <f>(L91+V92)-AF92</f>
      </c>
      <c r="AQ92" s="4">
        <f>(M91+W92)-AG92</f>
      </c>
      <c r="AR92" s="4">
        <f>(N91+X92)-AH92</f>
      </c>
      <c r="AS92" s="4">
        <f>(O91+Y92)-AI92</f>
      </c>
      <c r="AT92" s="4">
        <f>(P91+Z92)-AJ92</f>
      </c>
      <c r="AU92" s="4">
        <f>$B$16+SUM($K$5:$K$14)-SUM(AA92:AJ92)</f>
      </c>
      <c r="AV92" s="4">
        <f>AU92-BE92</f>
      </c>
      <c r="AW92" s="4">
        <f>AV92-BF92</f>
      </c>
      <c r="AX92" s="4">
        <f>AW92-BG92</f>
      </c>
      <c r="AY92" s="4">
        <f>AX92-BH92</f>
      </c>
      <c r="AZ92" s="4">
        <f>AY92-BI92</f>
      </c>
      <c r="BA92" s="4">
        <f>AZ92-BJ92</f>
      </c>
      <c r="BB92" s="4">
        <f>BA92-BK92</f>
      </c>
      <c r="BC92" s="4">
        <f>BB92-BL92</f>
      </c>
      <c r="BD92" s="4">
        <f>BC92-BM92</f>
      </c>
      <c r="BE92" s="4">
        <f>IF(G91&lt;=0,0,MIN(AU92,AK92))</f>
      </c>
      <c r="BF92" s="4">
        <f>IF(H91&lt;=0,0,MIN(AV92,AL92))</f>
      </c>
      <c r="BG92" s="4">
        <f>IF(I91&lt;=0,0,MIN(AW92,AM92))</f>
      </c>
      <c r="BH92" s="4">
        <f>IF(J91&lt;=0,0,MIN(AX92,AN92))</f>
      </c>
      <c r="BI92" s="4">
        <f>IF(K91&lt;=0,0,MIN(AY92,AO92))</f>
      </c>
      <c r="BJ92" s="4">
        <f>IF(L91&lt;=0,0,MIN(AZ92,AP92))</f>
      </c>
      <c r="BK92" s="4">
        <f>IF(M91&lt;=0,0,MIN(BA92,AQ92))</f>
      </c>
      <c r="BL92" s="4">
        <f>IF(N91&lt;=0,0,MIN(BB92,AR92))</f>
      </c>
      <c r="BM92" s="4">
        <f>IF(O91&lt;=0,0,MIN(BC92,AS92))</f>
      </c>
      <c r="BN92" s="4">
        <f>IF(P91&lt;=0,0,MIN(BD92,AT92))</f>
      </c>
    </row>
    <row r="93" spans="1:66" x14ac:dyDescent="0.25">
      <c r="A93">
        <v>66</v>
      </c>
      <c r="B93" s="7">
        <f>EDATE($B$17,66)</f>
      </c>
      <c r="C93" s="4">
        <f>SUM(G93:P93)</f>
      </c>
      <c r="D93" s="4">
        <f>SUM(Q93:Z93)</f>
      </c>
      <c r="E93" s="4">
        <f>SUM(AA93:AJ93)+SUM(BE93:BN93)</f>
      </c>
      <c r="G93" s="4">
        <f>MAX(0,AK93-BE93)</f>
      </c>
      <c r="H93" s="4">
        <f>MAX(0,AL93-BF93)</f>
      </c>
      <c r="I93" s="4">
        <f>MAX(0,AM93-BG93)</f>
      </c>
      <c r="J93" s="4">
        <f>MAX(0,AN93-BH93)</f>
      </c>
      <c r="K93" s="4">
        <f>MAX(0,AO93-BI93)</f>
      </c>
      <c r="L93" s="4">
        <f>MAX(0,AP93-BJ93)</f>
      </c>
      <c r="M93" s="4">
        <f>MAX(0,AQ93-BK93)</f>
      </c>
      <c r="N93" s="4">
        <f>MAX(0,AR93-BL93)</f>
      </c>
      <c r="O93" s="4">
        <f>MAX(0,AS93-BM93)</f>
      </c>
      <c r="P93" s="4">
        <f>MAX(0,AT93-BN93)</f>
      </c>
      <c r="Q93" s="4">
        <f>IF(G92&gt;0,G92*($J$5/100/12),0)</f>
      </c>
      <c r="R93" s="4">
        <f>IF(H92&gt;0,H92*($J$6/100/12),0)</f>
      </c>
      <c r="S93" s="4">
        <f>IF(I92&gt;0,I92*($J$7/100/12),0)</f>
      </c>
      <c r="T93" s="4">
        <f>IF(J92&gt;0,J92*($J$8/100/12),0)</f>
      </c>
      <c r="U93" s="4">
        <f>IF(K92&gt;0,K92*($J$9/100/12),0)</f>
      </c>
      <c r="V93" s="4">
        <f>IF(L92&gt;0,L92*($J$10/100/12),0)</f>
      </c>
      <c r="W93" s="4">
        <f>IF(M92&gt;0,M92*($J$11/100/12),0)</f>
      </c>
      <c r="X93" s="4">
        <f>IF(N92&gt;0,N92*($J$12/100/12),0)</f>
      </c>
      <c r="Y93" s="4">
        <f>IF(O92&gt;0,O92*($J$13/100/12),0)</f>
      </c>
      <c r="Z93" s="4">
        <f>IF(P92&gt;0,P92*($J$14/100/12),0)</f>
      </c>
      <c r="AA93" s="4">
        <f>IF(G92&lt;=0,0,MIN($K$5,(G92+Q93)))</f>
      </c>
      <c r="AB93" s="4">
        <f>IF(H92&lt;=0,0,MIN($K$6,(H92+R93)))</f>
      </c>
      <c r="AC93" s="4">
        <f>IF(I92&lt;=0,0,MIN($K$7,(I92+S93)))</f>
      </c>
      <c r="AD93" s="4">
        <f>IF(J92&lt;=0,0,MIN($K$8,(J92+T93)))</f>
      </c>
      <c r="AE93" s="4">
        <f>IF(K92&lt;=0,0,MIN($K$9,(K92+U93)))</f>
      </c>
      <c r="AF93" s="4">
        <f>IF(L92&lt;=0,0,MIN($K$10,(L92+V93)))</f>
      </c>
      <c r="AG93" s="4">
        <f>IF(M92&lt;=0,0,MIN($K$11,(M92+W93)))</f>
      </c>
      <c r="AH93" s="4">
        <f>IF(N92&lt;=0,0,MIN($K$12,(N92+X93)))</f>
      </c>
      <c r="AI93" s="4">
        <f>IF(O92&lt;=0,0,MIN($K$13,(O92+Y93)))</f>
      </c>
      <c r="AJ93" s="4">
        <f>IF(P92&lt;=0,0,MIN($K$14,(P92+Z93)))</f>
      </c>
      <c r="AK93" s="4">
        <f>(G92+Q93)-AA93</f>
      </c>
      <c r="AL93" s="4">
        <f>(H92+R93)-AB93</f>
      </c>
      <c r="AM93" s="4">
        <f>(I92+S93)-AC93</f>
      </c>
      <c r="AN93" s="4">
        <f>(J92+T93)-AD93</f>
      </c>
      <c r="AO93" s="4">
        <f>(K92+U93)-AE93</f>
      </c>
      <c r="AP93" s="4">
        <f>(L92+V93)-AF93</f>
      </c>
      <c r="AQ93" s="4">
        <f>(M92+W93)-AG93</f>
      </c>
      <c r="AR93" s="4">
        <f>(N92+X93)-AH93</f>
      </c>
      <c r="AS93" s="4">
        <f>(O92+Y93)-AI93</f>
      </c>
      <c r="AT93" s="4">
        <f>(P92+Z93)-AJ93</f>
      </c>
      <c r="AU93" s="4">
        <f>$B$16+SUM($K$5:$K$14)-SUM(AA93:AJ93)</f>
      </c>
      <c r="AV93" s="4">
        <f>AU93-BE93</f>
      </c>
      <c r="AW93" s="4">
        <f>AV93-BF93</f>
      </c>
      <c r="AX93" s="4">
        <f>AW93-BG93</f>
      </c>
      <c r="AY93" s="4">
        <f>AX93-BH93</f>
      </c>
      <c r="AZ93" s="4">
        <f>AY93-BI93</f>
      </c>
      <c r="BA93" s="4">
        <f>AZ93-BJ93</f>
      </c>
      <c r="BB93" s="4">
        <f>BA93-BK93</f>
      </c>
      <c r="BC93" s="4">
        <f>BB93-BL93</f>
      </c>
      <c r="BD93" s="4">
        <f>BC93-BM93</f>
      </c>
      <c r="BE93" s="4">
        <f>IF(G92&lt;=0,0,MIN(AU93,AK93))</f>
      </c>
      <c r="BF93" s="4">
        <f>IF(H92&lt;=0,0,MIN(AV93,AL93))</f>
      </c>
      <c r="BG93" s="4">
        <f>IF(I92&lt;=0,0,MIN(AW93,AM93))</f>
      </c>
      <c r="BH93" s="4">
        <f>IF(J92&lt;=0,0,MIN(AX93,AN93))</f>
      </c>
      <c r="BI93" s="4">
        <f>IF(K92&lt;=0,0,MIN(AY93,AO93))</f>
      </c>
      <c r="BJ93" s="4">
        <f>IF(L92&lt;=0,0,MIN(AZ93,AP93))</f>
      </c>
      <c r="BK93" s="4">
        <f>IF(M92&lt;=0,0,MIN(BA93,AQ93))</f>
      </c>
      <c r="BL93" s="4">
        <f>IF(N92&lt;=0,0,MIN(BB93,AR93))</f>
      </c>
      <c r="BM93" s="4">
        <f>IF(O92&lt;=0,0,MIN(BC93,AS93))</f>
      </c>
      <c r="BN93" s="4">
        <f>IF(P92&lt;=0,0,MIN(BD93,AT93))</f>
      </c>
    </row>
    <row r="94" spans="1:66" x14ac:dyDescent="0.25">
      <c r="A94">
        <v>67</v>
      </c>
      <c r="B94" s="7">
        <f>EDATE($B$17,67)</f>
      </c>
      <c r="C94" s="4">
        <f>SUM(G94:P94)</f>
      </c>
      <c r="D94" s="4">
        <f>SUM(Q94:Z94)</f>
      </c>
      <c r="E94" s="4">
        <f>SUM(AA94:AJ94)+SUM(BE94:BN94)</f>
      </c>
      <c r="G94" s="4">
        <f>MAX(0,AK94-BE94)</f>
      </c>
      <c r="H94" s="4">
        <f>MAX(0,AL94-BF94)</f>
      </c>
      <c r="I94" s="4">
        <f>MAX(0,AM94-BG94)</f>
      </c>
      <c r="J94" s="4">
        <f>MAX(0,AN94-BH94)</f>
      </c>
      <c r="K94" s="4">
        <f>MAX(0,AO94-BI94)</f>
      </c>
      <c r="L94" s="4">
        <f>MAX(0,AP94-BJ94)</f>
      </c>
      <c r="M94" s="4">
        <f>MAX(0,AQ94-BK94)</f>
      </c>
      <c r="N94" s="4">
        <f>MAX(0,AR94-BL94)</f>
      </c>
      <c r="O94" s="4">
        <f>MAX(0,AS94-BM94)</f>
      </c>
      <c r="P94" s="4">
        <f>MAX(0,AT94-BN94)</f>
      </c>
      <c r="Q94" s="4">
        <f>IF(G93&gt;0,G93*($J$5/100/12),0)</f>
      </c>
      <c r="R94" s="4">
        <f>IF(H93&gt;0,H93*($J$6/100/12),0)</f>
      </c>
      <c r="S94" s="4">
        <f>IF(I93&gt;0,I93*($J$7/100/12),0)</f>
      </c>
      <c r="T94" s="4">
        <f>IF(J93&gt;0,J93*($J$8/100/12),0)</f>
      </c>
      <c r="U94" s="4">
        <f>IF(K93&gt;0,K93*($J$9/100/12),0)</f>
      </c>
      <c r="V94" s="4">
        <f>IF(L93&gt;0,L93*($J$10/100/12),0)</f>
      </c>
      <c r="W94" s="4">
        <f>IF(M93&gt;0,M93*($J$11/100/12),0)</f>
      </c>
      <c r="X94" s="4">
        <f>IF(N93&gt;0,N93*($J$12/100/12),0)</f>
      </c>
      <c r="Y94" s="4">
        <f>IF(O93&gt;0,O93*($J$13/100/12),0)</f>
      </c>
      <c r="Z94" s="4">
        <f>IF(P93&gt;0,P93*($J$14/100/12),0)</f>
      </c>
      <c r="AA94" s="4">
        <f>IF(G93&lt;=0,0,MIN($K$5,(G93+Q94)))</f>
      </c>
      <c r="AB94" s="4">
        <f>IF(H93&lt;=0,0,MIN($K$6,(H93+R94)))</f>
      </c>
      <c r="AC94" s="4">
        <f>IF(I93&lt;=0,0,MIN($K$7,(I93+S94)))</f>
      </c>
      <c r="AD94" s="4">
        <f>IF(J93&lt;=0,0,MIN($K$8,(J93+T94)))</f>
      </c>
      <c r="AE94" s="4">
        <f>IF(K93&lt;=0,0,MIN($K$9,(K93+U94)))</f>
      </c>
      <c r="AF94" s="4">
        <f>IF(L93&lt;=0,0,MIN($K$10,(L93+V94)))</f>
      </c>
      <c r="AG94" s="4">
        <f>IF(M93&lt;=0,0,MIN($K$11,(M93+W94)))</f>
      </c>
      <c r="AH94" s="4">
        <f>IF(N93&lt;=0,0,MIN($K$12,(N93+X94)))</f>
      </c>
      <c r="AI94" s="4">
        <f>IF(O93&lt;=0,0,MIN($K$13,(O93+Y94)))</f>
      </c>
      <c r="AJ94" s="4">
        <f>IF(P93&lt;=0,0,MIN($K$14,(P93+Z94)))</f>
      </c>
      <c r="AK94" s="4">
        <f>(G93+Q94)-AA94</f>
      </c>
      <c r="AL94" s="4">
        <f>(H93+R94)-AB94</f>
      </c>
      <c r="AM94" s="4">
        <f>(I93+S94)-AC94</f>
      </c>
      <c r="AN94" s="4">
        <f>(J93+T94)-AD94</f>
      </c>
      <c r="AO94" s="4">
        <f>(K93+U94)-AE94</f>
      </c>
      <c r="AP94" s="4">
        <f>(L93+V94)-AF94</f>
      </c>
      <c r="AQ94" s="4">
        <f>(M93+W94)-AG94</f>
      </c>
      <c r="AR94" s="4">
        <f>(N93+X94)-AH94</f>
      </c>
      <c r="AS94" s="4">
        <f>(O93+Y94)-AI94</f>
      </c>
      <c r="AT94" s="4">
        <f>(P93+Z94)-AJ94</f>
      </c>
      <c r="AU94" s="4">
        <f>$B$16+SUM($K$5:$K$14)-SUM(AA94:AJ94)</f>
      </c>
      <c r="AV94" s="4">
        <f>AU94-BE94</f>
      </c>
      <c r="AW94" s="4">
        <f>AV94-BF94</f>
      </c>
      <c r="AX94" s="4">
        <f>AW94-BG94</f>
      </c>
      <c r="AY94" s="4">
        <f>AX94-BH94</f>
      </c>
      <c r="AZ94" s="4">
        <f>AY94-BI94</f>
      </c>
      <c r="BA94" s="4">
        <f>AZ94-BJ94</f>
      </c>
      <c r="BB94" s="4">
        <f>BA94-BK94</f>
      </c>
      <c r="BC94" s="4">
        <f>BB94-BL94</f>
      </c>
      <c r="BD94" s="4">
        <f>BC94-BM94</f>
      </c>
      <c r="BE94" s="4">
        <f>IF(G93&lt;=0,0,MIN(AU94,AK94))</f>
      </c>
      <c r="BF94" s="4">
        <f>IF(H93&lt;=0,0,MIN(AV94,AL94))</f>
      </c>
      <c r="BG94" s="4">
        <f>IF(I93&lt;=0,0,MIN(AW94,AM94))</f>
      </c>
      <c r="BH94" s="4">
        <f>IF(J93&lt;=0,0,MIN(AX94,AN94))</f>
      </c>
      <c r="BI94" s="4">
        <f>IF(K93&lt;=0,0,MIN(AY94,AO94))</f>
      </c>
      <c r="BJ94" s="4">
        <f>IF(L93&lt;=0,0,MIN(AZ94,AP94))</f>
      </c>
      <c r="BK94" s="4">
        <f>IF(M93&lt;=0,0,MIN(BA94,AQ94))</f>
      </c>
      <c r="BL94" s="4">
        <f>IF(N93&lt;=0,0,MIN(BB94,AR94))</f>
      </c>
      <c r="BM94" s="4">
        <f>IF(O93&lt;=0,0,MIN(BC94,AS94))</f>
      </c>
      <c r="BN94" s="4">
        <f>IF(P93&lt;=0,0,MIN(BD94,AT94))</f>
      </c>
    </row>
    <row r="95" spans="1:66" x14ac:dyDescent="0.25">
      <c r="A95">
        <v>68</v>
      </c>
      <c r="B95" s="7">
        <f>EDATE($B$17,68)</f>
      </c>
      <c r="C95" s="4">
        <f>SUM(G95:P95)</f>
      </c>
      <c r="D95" s="4">
        <f>SUM(Q95:Z95)</f>
      </c>
      <c r="E95" s="4">
        <f>SUM(AA95:AJ95)+SUM(BE95:BN95)</f>
      </c>
      <c r="G95" s="4">
        <f>MAX(0,AK95-BE95)</f>
      </c>
      <c r="H95" s="4">
        <f>MAX(0,AL95-BF95)</f>
      </c>
      <c r="I95" s="4">
        <f>MAX(0,AM95-BG95)</f>
      </c>
      <c r="J95" s="4">
        <f>MAX(0,AN95-BH95)</f>
      </c>
      <c r="K95" s="4">
        <f>MAX(0,AO95-BI95)</f>
      </c>
      <c r="L95" s="4">
        <f>MAX(0,AP95-BJ95)</f>
      </c>
      <c r="M95" s="4">
        <f>MAX(0,AQ95-BK95)</f>
      </c>
      <c r="N95" s="4">
        <f>MAX(0,AR95-BL95)</f>
      </c>
      <c r="O95" s="4">
        <f>MAX(0,AS95-BM95)</f>
      </c>
      <c r="P95" s="4">
        <f>MAX(0,AT95-BN95)</f>
      </c>
      <c r="Q95" s="4">
        <f>IF(G94&gt;0,G94*($J$5/100/12),0)</f>
      </c>
      <c r="R95" s="4">
        <f>IF(H94&gt;0,H94*($J$6/100/12),0)</f>
      </c>
      <c r="S95" s="4">
        <f>IF(I94&gt;0,I94*($J$7/100/12),0)</f>
      </c>
      <c r="T95" s="4">
        <f>IF(J94&gt;0,J94*($J$8/100/12),0)</f>
      </c>
      <c r="U95" s="4">
        <f>IF(K94&gt;0,K94*($J$9/100/12),0)</f>
      </c>
      <c r="V95" s="4">
        <f>IF(L94&gt;0,L94*($J$10/100/12),0)</f>
      </c>
      <c r="W95" s="4">
        <f>IF(M94&gt;0,M94*($J$11/100/12),0)</f>
      </c>
      <c r="X95" s="4">
        <f>IF(N94&gt;0,N94*($J$12/100/12),0)</f>
      </c>
      <c r="Y95" s="4">
        <f>IF(O94&gt;0,O94*($J$13/100/12),0)</f>
      </c>
      <c r="Z95" s="4">
        <f>IF(P94&gt;0,P94*($J$14/100/12),0)</f>
      </c>
      <c r="AA95" s="4">
        <f>IF(G94&lt;=0,0,MIN($K$5,(G94+Q95)))</f>
      </c>
      <c r="AB95" s="4">
        <f>IF(H94&lt;=0,0,MIN($K$6,(H94+R95)))</f>
      </c>
      <c r="AC95" s="4">
        <f>IF(I94&lt;=0,0,MIN($K$7,(I94+S95)))</f>
      </c>
      <c r="AD95" s="4">
        <f>IF(J94&lt;=0,0,MIN($K$8,(J94+T95)))</f>
      </c>
      <c r="AE95" s="4">
        <f>IF(K94&lt;=0,0,MIN($K$9,(K94+U95)))</f>
      </c>
      <c r="AF95" s="4">
        <f>IF(L94&lt;=0,0,MIN($K$10,(L94+V95)))</f>
      </c>
      <c r="AG95" s="4">
        <f>IF(M94&lt;=0,0,MIN($K$11,(M94+W95)))</f>
      </c>
      <c r="AH95" s="4">
        <f>IF(N94&lt;=0,0,MIN($K$12,(N94+X95)))</f>
      </c>
      <c r="AI95" s="4">
        <f>IF(O94&lt;=0,0,MIN($K$13,(O94+Y95)))</f>
      </c>
      <c r="AJ95" s="4">
        <f>IF(P94&lt;=0,0,MIN($K$14,(P94+Z95)))</f>
      </c>
      <c r="AK95" s="4">
        <f>(G94+Q95)-AA95</f>
      </c>
      <c r="AL95" s="4">
        <f>(H94+R95)-AB95</f>
      </c>
      <c r="AM95" s="4">
        <f>(I94+S95)-AC95</f>
      </c>
      <c r="AN95" s="4">
        <f>(J94+T95)-AD95</f>
      </c>
      <c r="AO95" s="4">
        <f>(K94+U95)-AE95</f>
      </c>
      <c r="AP95" s="4">
        <f>(L94+V95)-AF95</f>
      </c>
      <c r="AQ95" s="4">
        <f>(M94+W95)-AG95</f>
      </c>
      <c r="AR95" s="4">
        <f>(N94+X95)-AH95</f>
      </c>
      <c r="AS95" s="4">
        <f>(O94+Y95)-AI95</f>
      </c>
      <c r="AT95" s="4">
        <f>(P94+Z95)-AJ95</f>
      </c>
      <c r="AU95" s="4">
        <f>$B$16+SUM($K$5:$K$14)-SUM(AA95:AJ95)</f>
      </c>
      <c r="AV95" s="4">
        <f>AU95-BE95</f>
      </c>
      <c r="AW95" s="4">
        <f>AV95-BF95</f>
      </c>
      <c r="AX95" s="4">
        <f>AW95-BG95</f>
      </c>
      <c r="AY95" s="4">
        <f>AX95-BH95</f>
      </c>
      <c r="AZ95" s="4">
        <f>AY95-BI95</f>
      </c>
      <c r="BA95" s="4">
        <f>AZ95-BJ95</f>
      </c>
      <c r="BB95" s="4">
        <f>BA95-BK95</f>
      </c>
      <c r="BC95" s="4">
        <f>BB95-BL95</f>
      </c>
      <c r="BD95" s="4">
        <f>BC95-BM95</f>
      </c>
      <c r="BE95" s="4">
        <f>IF(G94&lt;=0,0,MIN(AU95,AK95))</f>
      </c>
      <c r="BF95" s="4">
        <f>IF(H94&lt;=0,0,MIN(AV95,AL95))</f>
      </c>
      <c r="BG95" s="4">
        <f>IF(I94&lt;=0,0,MIN(AW95,AM95))</f>
      </c>
      <c r="BH95" s="4">
        <f>IF(J94&lt;=0,0,MIN(AX95,AN95))</f>
      </c>
      <c r="BI95" s="4">
        <f>IF(K94&lt;=0,0,MIN(AY95,AO95))</f>
      </c>
      <c r="BJ95" s="4">
        <f>IF(L94&lt;=0,0,MIN(AZ95,AP95))</f>
      </c>
      <c r="BK95" s="4">
        <f>IF(M94&lt;=0,0,MIN(BA95,AQ95))</f>
      </c>
      <c r="BL95" s="4">
        <f>IF(N94&lt;=0,0,MIN(BB95,AR95))</f>
      </c>
      <c r="BM95" s="4">
        <f>IF(O94&lt;=0,0,MIN(BC95,AS95))</f>
      </c>
      <c r="BN95" s="4">
        <f>IF(P94&lt;=0,0,MIN(BD95,AT95))</f>
      </c>
    </row>
    <row r="96" spans="1:66" x14ac:dyDescent="0.25">
      <c r="A96">
        <v>69</v>
      </c>
      <c r="B96" s="7">
        <f>EDATE($B$17,69)</f>
      </c>
      <c r="C96" s="4">
        <f>SUM(G96:P96)</f>
      </c>
      <c r="D96" s="4">
        <f>SUM(Q96:Z96)</f>
      </c>
      <c r="E96" s="4">
        <f>SUM(AA96:AJ96)+SUM(BE96:BN96)</f>
      </c>
      <c r="G96" s="4">
        <f>MAX(0,AK96-BE96)</f>
      </c>
      <c r="H96" s="4">
        <f>MAX(0,AL96-BF96)</f>
      </c>
      <c r="I96" s="4">
        <f>MAX(0,AM96-BG96)</f>
      </c>
      <c r="J96" s="4">
        <f>MAX(0,AN96-BH96)</f>
      </c>
      <c r="K96" s="4">
        <f>MAX(0,AO96-BI96)</f>
      </c>
      <c r="L96" s="4">
        <f>MAX(0,AP96-BJ96)</f>
      </c>
      <c r="M96" s="4">
        <f>MAX(0,AQ96-BK96)</f>
      </c>
      <c r="N96" s="4">
        <f>MAX(0,AR96-BL96)</f>
      </c>
      <c r="O96" s="4">
        <f>MAX(0,AS96-BM96)</f>
      </c>
      <c r="P96" s="4">
        <f>MAX(0,AT96-BN96)</f>
      </c>
      <c r="Q96" s="4">
        <f>IF(G95&gt;0,G95*($J$5/100/12),0)</f>
      </c>
      <c r="R96" s="4">
        <f>IF(H95&gt;0,H95*($J$6/100/12),0)</f>
      </c>
      <c r="S96" s="4">
        <f>IF(I95&gt;0,I95*($J$7/100/12),0)</f>
      </c>
      <c r="T96" s="4">
        <f>IF(J95&gt;0,J95*($J$8/100/12),0)</f>
      </c>
      <c r="U96" s="4">
        <f>IF(K95&gt;0,K95*($J$9/100/12),0)</f>
      </c>
      <c r="V96" s="4">
        <f>IF(L95&gt;0,L95*($J$10/100/12),0)</f>
      </c>
      <c r="W96" s="4">
        <f>IF(M95&gt;0,M95*($J$11/100/12),0)</f>
      </c>
      <c r="X96" s="4">
        <f>IF(N95&gt;0,N95*($J$12/100/12),0)</f>
      </c>
      <c r="Y96" s="4">
        <f>IF(O95&gt;0,O95*($J$13/100/12),0)</f>
      </c>
      <c r="Z96" s="4">
        <f>IF(P95&gt;0,P95*($J$14/100/12),0)</f>
      </c>
      <c r="AA96" s="4">
        <f>IF(G95&lt;=0,0,MIN($K$5,(G95+Q96)))</f>
      </c>
      <c r="AB96" s="4">
        <f>IF(H95&lt;=0,0,MIN($K$6,(H95+R96)))</f>
      </c>
      <c r="AC96" s="4">
        <f>IF(I95&lt;=0,0,MIN($K$7,(I95+S96)))</f>
      </c>
      <c r="AD96" s="4">
        <f>IF(J95&lt;=0,0,MIN($K$8,(J95+T96)))</f>
      </c>
      <c r="AE96" s="4">
        <f>IF(K95&lt;=0,0,MIN($K$9,(K95+U96)))</f>
      </c>
      <c r="AF96" s="4">
        <f>IF(L95&lt;=0,0,MIN($K$10,(L95+V96)))</f>
      </c>
      <c r="AG96" s="4">
        <f>IF(M95&lt;=0,0,MIN($K$11,(M95+W96)))</f>
      </c>
      <c r="AH96" s="4">
        <f>IF(N95&lt;=0,0,MIN($K$12,(N95+X96)))</f>
      </c>
      <c r="AI96" s="4">
        <f>IF(O95&lt;=0,0,MIN($K$13,(O95+Y96)))</f>
      </c>
      <c r="AJ96" s="4">
        <f>IF(P95&lt;=0,0,MIN($K$14,(P95+Z96)))</f>
      </c>
      <c r="AK96" s="4">
        <f>(G95+Q96)-AA96</f>
      </c>
      <c r="AL96" s="4">
        <f>(H95+R96)-AB96</f>
      </c>
      <c r="AM96" s="4">
        <f>(I95+S96)-AC96</f>
      </c>
      <c r="AN96" s="4">
        <f>(J95+T96)-AD96</f>
      </c>
      <c r="AO96" s="4">
        <f>(K95+U96)-AE96</f>
      </c>
      <c r="AP96" s="4">
        <f>(L95+V96)-AF96</f>
      </c>
      <c r="AQ96" s="4">
        <f>(M95+W96)-AG96</f>
      </c>
      <c r="AR96" s="4">
        <f>(N95+X96)-AH96</f>
      </c>
      <c r="AS96" s="4">
        <f>(O95+Y96)-AI96</f>
      </c>
      <c r="AT96" s="4">
        <f>(P95+Z96)-AJ96</f>
      </c>
      <c r="AU96" s="4">
        <f>$B$16+SUM($K$5:$K$14)-SUM(AA96:AJ96)</f>
      </c>
      <c r="AV96" s="4">
        <f>AU96-BE96</f>
      </c>
      <c r="AW96" s="4">
        <f>AV96-BF96</f>
      </c>
      <c r="AX96" s="4">
        <f>AW96-BG96</f>
      </c>
      <c r="AY96" s="4">
        <f>AX96-BH96</f>
      </c>
      <c r="AZ96" s="4">
        <f>AY96-BI96</f>
      </c>
      <c r="BA96" s="4">
        <f>AZ96-BJ96</f>
      </c>
      <c r="BB96" s="4">
        <f>BA96-BK96</f>
      </c>
      <c r="BC96" s="4">
        <f>BB96-BL96</f>
      </c>
      <c r="BD96" s="4">
        <f>BC96-BM96</f>
      </c>
      <c r="BE96" s="4">
        <f>IF(G95&lt;=0,0,MIN(AU96,AK96))</f>
      </c>
      <c r="BF96" s="4">
        <f>IF(H95&lt;=0,0,MIN(AV96,AL96))</f>
      </c>
      <c r="BG96" s="4">
        <f>IF(I95&lt;=0,0,MIN(AW96,AM96))</f>
      </c>
      <c r="BH96" s="4">
        <f>IF(J95&lt;=0,0,MIN(AX96,AN96))</f>
      </c>
      <c r="BI96" s="4">
        <f>IF(K95&lt;=0,0,MIN(AY96,AO96))</f>
      </c>
      <c r="BJ96" s="4">
        <f>IF(L95&lt;=0,0,MIN(AZ96,AP96))</f>
      </c>
      <c r="BK96" s="4">
        <f>IF(M95&lt;=0,0,MIN(BA96,AQ96))</f>
      </c>
      <c r="BL96" s="4">
        <f>IF(N95&lt;=0,0,MIN(BB96,AR96))</f>
      </c>
      <c r="BM96" s="4">
        <f>IF(O95&lt;=0,0,MIN(BC96,AS96))</f>
      </c>
      <c r="BN96" s="4">
        <f>IF(P95&lt;=0,0,MIN(BD96,AT96))</f>
      </c>
    </row>
    <row r="97" spans="1:66" x14ac:dyDescent="0.25">
      <c r="A97">
        <v>70</v>
      </c>
      <c r="B97" s="7">
        <f>EDATE($B$17,70)</f>
      </c>
      <c r="C97" s="4">
        <f>SUM(G97:P97)</f>
      </c>
      <c r="D97" s="4">
        <f>SUM(Q97:Z97)</f>
      </c>
      <c r="E97" s="4">
        <f>SUM(AA97:AJ97)+SUM(BE97:BN97)</f>
      </c>
      <c r="G97" s="4">
        <f>MAX(0,AK97-BE97)</f>
      </c>
      <c r="H97" s="4">
        <f>MAX(0,AL97-BF97)</f>
      </c>
      <c r="I97" s="4">
        <f>MAX(0,AM97-BG97)</f>
      </c>
      <c r="J97" s="4">
        <f>MAX(0,AN97-BH97)</f>
      </c>
      <c r="K97" s="4">
        <f>MAX(0,AO97-BI97)</f>
      </c>
      <c r="L97" s="4">
        <f>MAX(0,AP97-BJ97)</f>
      </c>
      <c r="M97" s="4">
        <f>MAX(0,AQ97-BK97)</f>
      </c>
      <c r="N97" s="4">
        <f>MAX(0,AR97-BL97)</f>
      </c>
      <c r="O97" s="4">
        <f>MAX(0,AS97-BM97)</f>
      </c>
      <c r="P97" s="4">
        <f>MAX(0,AT97-BN97)</f>
      </c>
      <c r="Q97" s="4">
        <f>IF(G96&gt;0,G96*($J$5/100/12),0)</f>
      </c>
      <c r="R97" s="4">
        <f>IF(H96&gt;0,H96*($J$6/100/12),0)</f>
      </c>
      <c r="S97" s="4">
        <f>IF(I96&gt;0,I96*($J$7/100/12),0)</f>
      </c>
      <c r="T97" s="4">
        <f>IF(J96&gt;0,J96*($J$8/100/12),0)</f>
      </c>
      <c r="U97" s="4">
        <f>IF(K96&gt;0,K96*($J$9/100/12),0)</f>
      </c>
      <c r="V97" s="4">
        <f>IF(L96&gt;0,L96*($J$10/100/12),0)</f>
      </c>
      <c r="W97" s="4">
        <f>IF(M96&gt;0,M96*($J$11/100/12),0)</f>
      </c>
      <c r="X97" s="4">
        <f>IF(N96&gt;0,N96*($J$12/100/12),0)</f>
      </c>
      <c r="Y97" s="4">
        <f>IF(O96&gt;0,O96*($J$13/100/12),0)</f>
      </c>
      <c r="Z97" s="4">
        <f>IF(P96&gt;0,P96*($J$14/100/12),0)</f>
      </c>
      <c r="AA97" s="4">
        <f>IF(G96&lt;=0,0,MIN($K$5,(G96+Q97)))</f>
      </c>
      <c r="AB97" s="4">
        <f>IF(H96&lt;=0,0,MIN($K$6,(H96+R97)))</f>
      </c>
      <c r="AC97" s="4">
        <f>IF(I96&lt;=0,0,MIN($K$7,(I96+S97)))</f>
      </c>
      <c r="AD97" s="4">
        <f>IF(J96&lt;=0,0,MIN($K$8,(J96+T97)))</f>
      </c>
      <c r="AE97" s="4">
        <f>IF(K96&lt;=0,0,MIN($K$9,(K96+U97)))</f>
      </c>
      <c r="AF97" s="4">
        <f>IF(L96&lt;=0,0,MIN($K$10,(L96+V97)))</f>
      </c>
      <c r="AG97" s="4">
        <f>IF(M96&lt;=0,0,MIN($K$11,(M96+W97)))</f>
      </c>
      <c r="AH97" s="4">
        <f>IF(N96&lt;=0,0,MIN($K$12,(N96+X97)))</f>
      </c>
      <c r="AI97" s="4">
        <f>IF(O96&lt;=0,0,MIN($K$13,(O96+Y97)))</f>
      </c>
      <c r="AJ97" s="4">
        <f>IF(P96&lt;=0,0,MIN($K$14,(P96+Z97)))</f>
      </c>
      <c r="AK97" s="4">
        <f>(G96+Q97)-AA97</f>
      </c>
      <c r="AL97" s="4">
        <f>(H96+R97)-AB97</f>
      </c>
      <c r="AM97" s="4">
        <f>(I96+S97)-AC97</f>
      </c>
      <c r="AN97" s="4">
        <f>(J96+T97)-AD97</f>
      </c>
      <c r="AO97" s="4">
        <f>(K96+U97)-AE97</f>
      </c>
      <c r="AP97" s="4">
        <f>(L96+V97)-AF97</f>
      </c>
      <c r="AQ97" s="4">
        <f>(M96+W97)-AG97</f>
      </c>
      <c r="AR97" s="4">
        <f>(N96+X97)-AH97</f>
      </c>
      <c r="AS97" s="4">
        <f>(O96+Y97)-AI97</f>
      </c>
      <c r="AT97" s="4">
        <f>(P96+Z97)-AJ97</f>
      </c>
      <c r="AU97" s="4">
        <f>$B$16+SUM($K$5:$K$14)-SUM(AA97:AJ97)</f>
      </c>
      <c r="AV97" s="4">
        <f>AU97-BE97</f>
      </c>
      <c r="AW97" s="4">
        <f>AV97-BF97</f>
      </c>
      <c r="AX97" s="4">
        <f>AW97-BG97</f>
      </c>
      <c r="AY97" s="4">
        <f>AX97-BH97</f>
      </c>
      <c r="AZ97" s="4">
        <f>AY97-BI97</f>
      </c>
      <c r="BA97" s="4">
        <f>AZ97-BJ97</f>
      </c>
      <c r="BB97" s="4">
        <f>BA97-BK97</f>
      </c>
      <c r="BC97" s="4">
        <f>BB97-BL97</f>
      </c>
      <c r="BD97" s="4">
        <f>BC97-BM97</f>
      </c>
      <c r="BE97" s="4">
        <f>IF(G96&lt;=0,0,MIN(AU97,AK97))</f>
      </c>
      <c r="BF97" s="4">
        <f>IF(H96&lt;=0,0,MIN(AV97,AL97))</f>
      </c>
      <c r="BG97" s="4">
        <f>IF(I96&lt;=0,0,MIN(AW97,AM97))</f>
      </c>
      <c r="BH97" s="4">
        <f>IF(J96&lt;=0,0,MIN(AX97,AN97))</f>
      </c>
      <c r="BI97" s="4">
        <f>IF(K96&lt;=0,0,MIN(AY97,AO97))</f>
      </c>
      <c r="BJ97" s="4">
        <f>IF(L96&lt;=0,0,MIN(AZ97,AP97))</f>
      </c>
      <c r="BK97" s="4">
        <f>IF(M96&lt;=0,0,MIN(BA97,AQ97))</f>
      </c>
      <c r="BL97" s="4">
        <f>IF(N96&lt;=0,0,MIN(BB97,AR97))</f>
      </c>
      <c r="BM97" s="4">
        <f>IF(O96&lt;=0,0,MIN(BC97,AS97))</f>
      </c>
      <c r="BN97" s="4">
        <f>IF(P96&lt;=0,0,MIN(BD97,AT97))</f>
      </c>
    </row>
    <row r="98" spans="1:66" x14ac:dyDescent="0.25">
      <c r="A98">
        <v>71</v>
      </c>
      <c r="B98" s="7">
        <f>EDATE($B$17,71)</f>
      </c>
      <c r="C98" s="4">
        <f>SUM(G98:P98)</f>
      </c>
      <c r="D98" s="4">
        <f>SUM(Q98:Z98)</f>
      </c>
      <c r="E98" s="4">
        <f>SUM(AA98:AJ98)+SUM(BE98:BN98)</f>
      </c>
      <c r="G98" s="4">
        <f>MAX(0,AK98-BE98)</f>
      </c>
      <c r="H98" s="4">
        <f>MAX(0,AL98-BF98)</f>
      </c>
      <c r="I98" s="4">
        <f>MAX(0,AM98-BG98)</f>
      </c>
      <c r="J98" s="4">
        <f>MAX(0,AN98-BH98)</f>
      </c>
      <c r="K98" s="4">
        <f>MAX(0,AO98-BI98)</f>
      </c>
      <c r="L98" s="4">
        <f>MAX(0,AP98-BJ98)</f>
      </c>
      <c r="M98" s="4">
        <f>MAX(0,AQ98-BK98)</f>
      </c>
      <c r="N98" s="4">
        <f>MAX(0,AR98-BL98)</f>
      </c>
      <c r="O98" s="4">
        <f>MAX(0,AS98-BM98)</f>
      </c>
      <c r="P98" s="4">
        <f>MAX(0,AT98-BN98)</f>
      </c>
      <c r="Q98" s="4">
        <f>IF(G97&gt;0,G97*($J$5/100/12),0)</f>
      </c>
      <c r="R98" s="4">
        <f>IF(H97&gt;0,H97*($J$6/100/12),0)</f>
      </c>
      <c r="S98" s="4">
        <f>IF(I97&gt;0,I97*($J$7/100/12),0)</f>
      </c>
      <c r="T98" s="4">
        <f>IF(J97&gt;0,J97*($J$8/100/12),0)</f>
      </c>
      <c r="U98" s="4">
        <f>IF(K97&gt;0,K97*($J$9/100/12),0)</f>
      </c>
      <c r="V98" s="4">
        <f>IF(L97&gt;0,L97*($J$10/100/12),0)</f>
      </c>
      <c r="W98" s="4">
        <f>IF(M97&gt;0,M97*($J$11/100/12),0)</f>
      </c>
      <c r="X98" s="4">
        <f>IF(N97&gt;0,N97*($J$12/100/12),0)</f>
      </c>
      <c r="Y98" s="4">
        <f>IF(O97&gt;0,O97*($J$13/100/12),0)</f>
      </c>
      <c r="Z98" s="4">
        <f>IF(P97&gt;0,P97*($J$14/100/12),0)</f>
      </c>
      <c r="AA98" s="4">
        <f>IF(G97&lt;=0,0,MIN($K$5,(G97+Q98)))</f>
      </c>
      <c r="AB98" s="4">
        <f>IF(H97&lt;=0,0,MIN($K$6,(H97+R98)))</f>
      </c>
      <c r="AC98" s="4">
        <f>IF(I97&lt;=0,0,MIN($K$7,(I97+S98)))</f>
      </c>
      <c r="AD98" s="4">
        <f>IF(J97&lt;=0,0,MIN($K$8,(J97+T98)))</f>
      </c>
      <c r="AE98" s="4">
        <f>IF(K97&lt;=0,0,MIN($K$9,(K97+U98)))</f>
      </c>
      <c r="AF98" s="4">
        <f>IF(L97&lt;=0,0,MIN($K$10,(L97+V98)))</f>
      </c>
      <c r="AG98" s="4">
        <f>IF(M97&lt;=0,0,MIN($K$11,(M97+W98)))</f>
      </c>
      <c r="AH98" s="4">
        <f>IF(N97&lt;=0,0,MIN($K$12,(N97+X98)))</f>
      </c>
      <c r="AI98" s="4">
        <f>IF(O97&lt;=0,0,MIN($K$13,(O97+Y98)))</f>
      </c>
      <c r="AJ98" s="4">
        <f>IF(P97&lt;=0,0,MIN($K$14,(P97+Z98)))</f>
      </c>
      <c r="AK98" s="4">
        <f>(G97+Q98)-AA98</f>
      </c>
      <c r="AL98" s="4">
        <f>(H97+R98)-AB98</f>
      </c>
      <c r="AM98" s="4">
        <f>(I97+S98)-AC98</f>
      </c>
      <c r="AN98" s="4">
        <f>(J97+T98)-AD98</f>
      </c>
      <c r="AO98" s="4">
        <f>(K97+U98)-AE98</f>
      </c>
      <c r="AP98" s="4">
        <f>(L97+V98)-AF98</f>
      </c>
      <c r="AQ98" s="4">
        <f>(M97+W98)-AG98</f>
      </c>
      <c r="AR98" s="4">
        <f>(N97+X98)-AH98</f>
      </c>
      <c r="AS98" s="4">
        <f>(O97+Y98)-AI98</f>
      </c>
      <c r="AT98" s="4">
        <f>(P97+Z98)-AJ98</f>
      </c>
      <c r="AU98" s="4">
        <f>$B$16+SUM($K$5:$K$14)-SUM(AA98:AJ98)</f>
      </c>
      <c r="AV98" s="4">
        <f>AU98-BE98</f>
      </c>
      <c r="AW98" s="4">
        <f>AV98-BF98</f>
      </c>
      <c r="AX98" s="4">
        <f>AW98-BG98</f>
      </c>
      <c r="AY98" s="4">
        <f>AX98-BH98</f>
      </c>
      <c r="AZ98" s="4">
        <f>AY98-BI98</f>
      </c>
      <c r="BA98" s="4">
        <f>AZ98-BJ98</f>
      </c>
      <c r="BB98" s="4">
        <f>BA98-BK98</f>
      </c>
      <c r="BC98" s="4">
        <f>BB98-BL98</f>
      </c>
      <c r="BD98" s="4">
        <f>BC98-BM98</f>
      </c>
      <c r="BE98" s="4">
        <f>IF(G97&lt;=0,0,MIN(AU98,AK98))</f>
      </c>
      <c r="BF98" s="4">
        <f>IF(H97&lt;=0,0,MIN(AV98,AL98))</f>
      </c>
      <c r="BG98" s="4">
        <f>IF(I97&lt;=0,0,MIN(AW98,AM98))</f>
      </c>
      <c r="BH98" s="4">
        <f>IF(J97&lt;=0,0,MIN(AX98,AN98))</f>
      </c>
      <c r="BI98" s="4">
        <f>IF(K97&lt;=0,0,MIN(AY98,AO98))</f>
      </c>
      <c r="BJ98" s="4">
        <f>IF(L97&lt;=0,0,MIN(AZ98,AP98))</f>
      </c>
      <c r="BK98" s="4">
        <f>IF(M97&lt;=0,0,MIN(BA98,AQ98))</f>
      </c>
      <c r="BL98" s="4">
        <f>IF(N97&lt;=0,0,MIN(BB98,AR98))</f>
      </c>
      <c r="BM98" s="4">
        <f>IF(O97&lt;=0,0,MIN(BC98,AS98))</f>
      </c>
      <c r="BN98" s="4">
        <f>IF(P97&lt;=0,0,MIN(BD98,AT98))</f>
      </c>
    </row>
    <row r="99" spans="1:66" x14ac:dyDescent="0.25">
      <c r="A99">
        <v>72</v>
      </c>
      <c r="B99" s="7">
        <f>EDATE($B$17,72)</f>
      </c>
      <c r="C99" s="4">
        <f>SUM(G99:P99)</f>
      </c>
      <c r="D99" s="4">
        <f>SUM(Q99:Z99)</f>
      </c>
      <c r="E99" s="4">
        <f>SUM(AA99:AJ99)+SUM(BE99:BN99)</f>
      </c>
      <c r="G99" s="4">
        <f>MAX(0,AK99-BE99)</f>
      </c>
      <c r="H99" s="4">
        <f>MAX(0,AL99-BF99)</f>
      </c>
      <c r="I99" s="4">
        <f>MAX(0,AM99-BG99)</f>
      </c>
      <c r="J99" s="4">
        <f>MAX(0,AN99-BH99)</f>
      </c>
      <c r="K99" s="4">
        <f>MAX(0,AO99-BI99)</f>
      </c>
      <c r="L99" s="4">
        <f>MAX(0,AP99-BJ99)</f>
      </c>
      <c r="M99" s="4">
        <f>MAX(0,AQ99-BK99)</f>
      </c>
      <c r="N99" s="4">
        <f>MAX(0,AR99-BL99)</f>
      </c>
      <c r="O99" s="4">
        <f>MAX(0,AS99-BM99)</f>
      </c>
      <c r="P99" s="4">
        <f>MAX(0,AT99-BN99)</f>
      </c>
      <c r="Q99" s="4">
        <f>IF(G98&gt;0,G98*($J$5/100/12),0)</f>
      </c>
      <c r="R99" s="4">
        <f>IF(H98&gt;0,H98*($J$6/100/12),0)</f>
      </c>
      <c r="S99" s="4">
        <f>IF(I98&gt;0,I98*($J$7/100/12),0)</f>
      </c>
      <c r="T99" s="4">
        <f>IF(J98&gt;0,J98*($J$8/100/12),0)</f>
      </c>
      <c r="U99" s="4">
        <f>IF(K98&gt;0,K98*($J$9/100/12),0)</f>
      </c>
      <c r="V99" s="4">
        <f>IF(L98&gt;0,L98*($J$10/100/12),0)</f>
      </c>
      <c r="W99" s="4">
        <f>IF(M98&gt;0,M98*($J$11/100/12),0)</f>
      </c>
      <c r="X99" s="4">
        <f>IF(N98&gt;0,N98*($J$12/100/12),0)</f>
      </c>
      <c r="Y99" s="4">
        <f>IF(O98&gt;0,O98*($J$13/100/12),0)</f>
      </c>
      <c r="Z99" s="4">
        <f>IF(P98&gt;0,P98*($J$14/100/12),0)</f>
      </c>
      <c r="AA99" s="4">
        <f>IF(G98&lt;=0,0,MIN($K$5,(G98+Q99)))</f>
      </c>
      <c r="AB99" s="4">
        <f>IF(H98&lt;=0,0,MIN($K$6,(H98+R99)))</f>
      </c>
      <c r="AC99" s="4">
        <f>IF(I98&lt;=0,0,MIN($K$7,(I98+S99)))</f>
      </c>
      <c r="AD99" s="4">
        <f>IF(J98&lt;=0,0,MIN($K$8,(J98+T99)))</f>
      </c>
      <c r="AE99" s="4">
        <f>IF(K98&lt;=0,0,MIN($K$9,(K98+U99)))</f>
      </c>
      <c r="AF99" s="4">
        <f>IF(L98&lt;=0,0,MIN($K$10,(L98+V99)))</f>
      </c>
      <c r="AG99" s="4">
        <f>IF(M98&lt;=0,0,MIN($K$11,(M98+W99)))</f>
      </c>
      <c r="AH99" s="4">
        <f>IF(N98&lt;=0,0,MIN($K$12,(N98+X99)))</f>
      </c>
      <c r="AI99" s="4">
        <f>IF(O98&lt;=0,0,MIN($K$13,(O98+Y99)))</f>
      </c>
      <c r="AJ99" s="4">
        <f>IF(P98&lt;=0,0,MIN($K$14,(P98+Z99)))</f>
      </c>
      <c r="AK99" s="4">
        <f>(G98+Q99)-AA99</f>
      </c>
      <c r="AL99" s="4">
        <f>(H98+R99)-AB99</f>
      </c>
      <c r="AM99" s="4">
        <f>(I98+S99)-AC99</f>
      </c>
      <c r="AN99" s="4">
        <f>(J98+T99)-AD99</f>
      </c>
      <c r="AO99" s="4">
        <f>(K98+U99)-AE99</f>
      </c>
      <c r="AP99" s="4">
        <f>(L98+V99)-AF99</f>
      </c>
      <c r="AQ99" s="4">
        <f>(M98+W99)-AG99</f>
      </c>
      <c r="AR99" s="4">
        <f>(N98+X99)-AH99</f>
      </c>
      <c r="AS99" s="4">
        <f>(O98+Y99)-AI99</f>
      </c>
      <c r="AT99" s="4">
        <f>(P98+Z99)-AJ99</f>
      </c>
      <c r="AU99" s="4">
        <f>$B$16+SUM($K$5:$K$14)-SUM(AA99:AJ99)</f>
      </c>
      <c r="AV99" s="4">
        <f>AU99-BE99</f>
      </c>
      <c r="AW99" s="4">
        <f>AV99-BF99</f>
      </c>
      <c r="AX99" s="4">
        <f>AW99-BG99</f>
      </c>
      <c r="AY99" s="4">
        <f>AX99-BH99</f>
      </c>
      <c r="AZ99" s="4">
        <f>AY99-BI99</f>
      </c>
      <c r="BA99" s="4">
        <f>AZ99-BJ99</f>
      </c>
      <c r="BB99" s="4">
        <f>BA99-BK99</f>
      </c>
      <c r="BC99" s="4">
        <f>BB99-BL99</f>
      </c>
      <c r="BD99" s="4">
        <f>BC99-BM99</f>
      </c>
      <c r="BE99" s="4">
        <f>IF(G98&lt;=0,0,MIN(AU99,AK99))</f>
      </c>
      <c r="BF99" s="4">
        <f>IF(H98&lt;=0,0,MIN(AV99,AL99))</f>
      </c>
      <c r="BG99" s="4">
        <f>IF(I98&lt;=0,0,MIN(AW99,AM99))</f>
      </c>
      <c r="BH99" s="4">
        <f>IF(J98&lt;=0,0,MIN(AX99,AN99))</f>
      </c>
      <c r="BI99" s="4">
        <f>IF(K98&lt;=0,0,MIN(AY99,AO99))</f>
      </c>
      <c r="BJ99" s="4">
        <f>IF(L98&lt;=0,0,MIN(AZ99,AP99))</f>
      </c>
      <c r="BK99" s="4">
        <f>IF(M98&lt;=0,0,MIN(BA99,AQ99))</f>
      </c>
      <c r="BL99" s="4">
        <f>IF(N98&lt;=0,0,MIN(BB99,AR99))</f>
      </c>
      <c r="BM99" s="4">
        <f>IF(O98&lt;=0,0,MIN(BC99,AS99))</f>
      </c>
      <c r="BN99" s="4">
        <f>IF(P98&lt;=0,0,MIN(BD99,AT99))</f>
      </c>
    </row>
    <row r="100" spans="1:66" x14ac:dyDescent="0.25">
      <c r="A100">
        <v>73</v>
      </c>
      <c r="B100" s="7">
        <f>EDATE($B$17,73)</f>
      </c>
      <c r="C100" s="4">
        <f>SUM(G100:P100)</f>
      </c>
      <c r="D100" s="4">
        <f>SUM(Q100:Z100)</f>
      </c>
      <c r="E100" s="4">
        <f>SUM(AA100:AJ100)+SUM(BE100:BN100)</f>
      </c>
      <c r="G100" s="4">
        <f>MAX(0,AK100-BE100)</f>
      </c>
      <c r="H100" s="4">
        <f>MAX(0,AL100-BF100)</f>
      </c>
      <c r="I100" s="4">
        <f>MAX(0,AM100-BG100)</f>
      </c>
      <c r="J100" s="4">
        <f>MAX(0,AN100-BH100)</f>
      </c>
      <c r="K100" s="4">
        <f>MAX(0,AO100-BI100)</f>
      </c>
      <c r="L100" s="4">
        <f>MAX(0,AP100-BJ100)</f>
      </c>
      <c r="M100" s="4">
        <f>MAX(0,AQ100-BK100)</f>
      </c>
      <c r="N100" s="4">
        <f>MAX(0,AR100-BL100)</f>
      </c>
      <c r="O100" s="4">
        <f>MAX(0,AS100-BM100)</f>
      </c>
      <c r="P100" s="4">
        <f>MAX(0,AT100-BN100)</f>
      </c>
      <c r="Q100" s="4">
        <f>IF(G99&gt;0,G99*($J$5/100/12),0)</f>
      </c>
      <c r="R100" s="4">
        <f>IF(H99&gt;0,H99*($J$6/100/12),0)</f>
      </c>
      <c r="S100" s="4">
        <f>IF(I99&gt;0,I99*($J$7/100/12),0)</f>
      </c>
      <c r="T100" s="4">
        <f>IF(J99&gt;0,J99*($J$8/100/12),0)</f>
      </c>
      <c r="U100" s="4">
        <f>IF(K99&gt;0,K99*($J$9/100/12),0)</f>
      </c>
      <c r="V100" s="4">
        <f>IF(L99&gt;0,L99*($J$10/100/12),0)</f>
      </c>
      <c r="W100" s="4">
        <f>IF(M99&gt;0,M99*($J$11/100/12),0)</f>
      </c>
      <c r="X100" s="4">
        <f>IF(N99&gt;0,N99*($J$12/100/12),0)</f>
      </c>
      <c r="Y100" s="4">
        <f>IF(O99&gt;0,O99*($J$13/100/12),0)</f>
      </c>
      <c r="Z100" s="4">
        <f>IF(P99&gt;0,P99*($J$14/100/12),0)</f>
      </c>
      <c r="AA100" s="4">
        <f>IF(G99&lt;=0,0,MIN($K$5,(G99+Q100)))</f>
      </c>
      <c r="AB100" s="4">
        <f>IF(H99&lt;=0,0,MIN($K$6,(H99+R100)))</f>
      </c>
      <c r="AC100" s="4">
        <f>IF(I99&lt;=0,0,MIN($K$7,(I99+S100)))</f>
      </c>
      <c r="AD100" s="4">
        <f>IF(J99&lt;=0,0,MIN($K$8,(J99+T100)))</f>
      </c>
      <c r="AE100" s="4">
        <f>IF(K99&lt;=0,0,MIN($K$9,(K99+U100)))</f>
      </c>
      <c r="AF100" s="4">
        <f>IF(L99&lt;=0,0,MIN($K$10,(L99+V100)))</f>
      </c>
      <c r="AG100" s="4">
        <f>IF(M99&lt;=0,0,MIN($K$11,(M99+W100)))</f>
      </c>
      <c r="AH100" s="4">
        <f>IF(N99&lt;=0,0,MIN($K$12,(N99+X100)))</f>
      </c>
      <c r="AI100" s="4">
        <f>IF(O99&lt;=0,0,MIN($K$13,(O99+Y100)))</f>
      </c>
      <c r="AJ100" s="4">
        <f>IF(P99&lt;=0,0,MIN($K$14,(P99+Z100)))</f>
      </c>
      <c r="AK100" s="4">
        <f>(G99+Q100)-AA100</f>
      </c>
      <c r="AL100" s="4">
        <f>(H99+R100)-AB100</f>
      </c>
      <c r="AM100" s="4">
        <f>(I99+S100)-AC100</f>
      </c>
      <c r="AN100" s="4">
        <f>(J99+T100)-AD100</f>
      </c>
      <c r="AO100" s="4">
        <f>(K99+U100)-AE100</f>
      </c>
      <c r="AP100" s="4">
        <f>(L99+V100)-AF100</f>
      </c>
      <c r="AQ100" s="4">
        <f>(M99+W100)-AG100</f>
      </c>
      <c r="AR100" s="4">
        <f>(N99+X100)-AH100</f>
      </c>
      <c r="AS100" s="4">
        <f>(O99+Y100)-AI100</f>
      </c>
      <c r="AT100" s="4">
        <f>(P99+Z100)-AJ100</f>
      </c>
      <c r="AU100" s="4">
        <f>$B$16+SUM($K$5:$K$14)-SUM(AA100:AJ100)</f>
      </c>
      <c r="AV100" s="4">
        <f>AU100-BE100</f>
      </c>
      <c r="AW100" s="4">
        <f>AV100-BF100</f>
      </c>
      <c r="AX100" s="4">
        <f>AW100-BG100</f>
      </c>
      <c r="AY100" s="4">
        <f>AX100-BH100</f>
      </c>
      <c r="AZ100" s="4">
        <f>AY100-BI100</f>
      </c>
      <c r="BA100" s="4">
        <f>AZ100-BJ100</f>
      </c>
      <c r="BB100" s="4">
        <f>BA100-BK100</f>
      </c>
      <c r="BC100" s="4">
        <f>BB100-BL100</f>
      </c>
      <c r="BD100" s="4">
        <f>BC100-BM100</f>
      </c>
      <c r="BE100" s="4">
        <f>IF(G99&lt;=0,0,MIN(AU100,AK100))</f>
      </c>
      <c r="BF100" s="4">
        <f>IF(H99&lt;=0,0,MIN(AV100,AL100))</f>
      </c>
      <c r="BG100" s="4">
        <f>IF(I99&lt;=0,0,MIN(AW100,AM100))</f>
      </c>
      <c r="BH100" s="4">
        <f>IF(J99&lt;=0,0,MIN(AX100,AN100))</f>
      </c>
      <c r="BI100" s="4">
        <f>IF(K99&lt;=0,0,MIN(AY100,AO100))</f>
      </c>
      <c r="BJ100" s="4">
        <f>IF(L99&lt;=0,0,MIN(AZ100,AP100))</f>
      </c>
      <c r="BK100" s="4">
        <f>IF(M99&lt;=0,0,MIN(BA100,AQ100))</f>
      </c>
      <c r="BL100" s="4">
        <f>IF(N99&lt;=0,0,MIN(BB100,AR100))</f>
      </c>
      <c r="BM100" s="4">
        <f>IF(O99&lt;=0,0,MIN(BC100,AS100))</f>
      </c>
      <c r="BN100" s="4">
        <f>IF(P99&lt;=0,0,MIN(BD100,AT100))</f>
      </c>
    </row>
    <row r="101" spans="1:66" x14ac:dyDescent="0.25">
      <c r="A101">
        <v>74</v>
      </c>
      <c r="B101" s="7">
        <f>EDATE($B$17,74)</f>
      </c>
      <c r="C101" s="4">
        <f>SUM(G101:P101)</f>
      </c>
      <c r="D101" s="4">
        <f>SUM(Q101:Z101)</f>
      </c>
      <c r="E101" s="4">
        <f>SUM(AA101:AJ101)+SUM(BE101:BN101)</f>
      </c>
      <c r="G101" s="4">
        <f>MAX(0,AK101-BE101)</f>
      </c>
      <c r="H101" s="4">
        <f>MAX(0,AL101-BF101)</f>
      </c>
      <c r="I101" s="4">
        <f>MAX(0,AM101-BG101)</f>
      </c>
      <c r="J101" s="4">
        <f>MAX(0,AN101-BH101)</f>
      </c>
      <c r="K101" s="4">
        <f>MAX(0,AO101-BI101)</f>
      </c>
      <c r="L101" s="4">
        <f>MAX(0,AP101-BJ101)</f>
      </c>
      <c r="M101" s="4">
        <f>MAX(0,AQ101-BK101)</f>
      </c>
      <c r="N101" s="4">
        <f>MAX(0,AR101-BL101)</f>
      </c>
      <c r="O101" s="4">
        <f>MAX(0,AS101-BM101)</f>
      </c>
      <c r="P101" s="4">
        <f>MAX(0,AT101-BN101)</f>
      </c>
      <c r="Q101" s="4">
        <f>IF(G100&gt;0,G100*($J$5/100/12),0)</f>
      </c>
      <c r="R101" s="4">
        <f>IF(H100&gt;0,H100*($J$6/100/12),0)</f>
      </c>
      <c r="S101" s="4">
        <f>IF(I100&gt;0,I100*($J$7/100/12),0)</f>
      </c>
      <c r="T101" s="4">
        <f>IF(J100&gt;0,J100*($J$8/100/12),0)</f>
      </c>
      <c r="U101" s="4">
        <f>IF(K100&gt;0,K100*($J$9/100/12),0)</f>
      </c>
      <c r="V101" s="4">
        <f>IF(L100&gt;0,L100*($J$10/100/12),0)</f>
      </c>
      <c r="W101" s="4">
        <f>IF(M100&gt;0,M100*($J$11/100/12),0)</f>
      </c>
      <c r="X101" s="4">
        <f>IF(N100&gt;0,N100*($J$12/100/12),0)</f>
      </c>
      <c r="Y101" s="4">
        <f>IF(O100&gt;0,O100*($J$13/100/12),0)</f>
      </c>
      <c r="Z101" s="4">
        <f>IF(P100&gt;0,P100*($J$14/100/12),0)</f>
      </c>
      <c r="AA101" s="4">
        <f>IF(G100&lt;=0,0,MIN($K$5,(G100+Q101)))</f>
      </c>
      <c r="AB101" s="4">
        <f>IF(H100&lt;=0,0,MIN($K$6,(H100+R101)))</f>
      </c>
      <c r="AC101" s="4">
        <f>IF(I100&lt;=0,0,MIN($K$7,(I100+S101)))</f>
      </c>
      <c r="AD101" s="4">
        <f>IF(J100&lt;=0,0,MIN($K$8,(J100+T101)))</f>
      </c>
      <c r="AE101" s="4">
        <f>IF(K100&lt;=0,0,MIN($K$9,(K100+U101)))</f>
      </c>
      <c r="AF101" s="4">
        <f>IF(L100&lt;=0,0,MIN($K$10,(L100+V101)))</f>
      </c>
      <c r="AG101" s="4">
        <f>IF(M100&lt;=0,0,MIN($K$11,(M100+W101)))</f>
      </c>
      <c r="AH101" s="4">
        <f>IF(N100&lt;=0,0,MIN($K$12,(N100+X101)))</f>
      </c>
      <c r="AI101" s="4">
        <f>IF(O100&lt;=0,0,MIN($K$13,(O100+Y101)))</f>
      </c>
      <c r="AJ101" s="4">
        <f>IF(P100&lt;=0,0,MIN($K$14,(P100+Z101)))</f>
      </c>
      <c r="AK101" s="4">
        <f>(G100+Q101)-AA101</f>
      </c>
      <c r="AL101" s="4">
        <f>(H100+R101)-AB101</f>
      </c>
      <c r="AM101" s="4">
        <f>(I100+S101)-AC101</f>
      </c>
      <c r="AN101" s="4">
        <f>(J100+T101)-AD101</f>
      </c>
      <c r="AO101" s="4">
        <f>(K100+U101)-AE101</f>
      </c>
      <c r="AP101" s="4">
        <f>(L100+V101)-AF101</f>
      </c>
      <c r="AQ101" s="4">
        <f>(M100+W101)-AG101</f>
      </c>
      <c r="AR101" s="4">
        <f>(N100+X101)-AH101</f>
      </c>
      <c r="AS101" s="4">
        <f>(O100+Y101)-AI101</f>
      </c>
      <c r="AT101" s="4">
        <f>(P100+Z101)-AJ101</f>
      </c>
      <c r="AU101" s="4">
        <f>$B$16+SUM($K$5:$K$14)-SUM(AA101:AJ101)</f>
      </c>
      <c r="AV101" s="4">
        <f>AU101-BE101</f>
      </c>
      <c r="AW101" s="4">
        <f>AV101-BF101</f>
      </c>
      <c r="AX101" s="4">
        <f>AW101-BG101</f>
      </c>
      <c r="AY101" s="4">
        <f>AX101-BH101</f>
      </c>
      <c r="AZ101" s="4">
        <f>AY101-BI101</f>
      </c>
      <c r="BA101" s="4">
        <f>AZ101-BJ101</f>
      </c>
      <c r="BB101" s="4">
        <f>BA101-BK101</f>
      </c>
      <c r="BC101" s="4">
        <f>BB101-BL101</f>
      </c>
      <c r="BD101" s="4">
        <f>BC101-BM101</f>
      </c>
      <c r="BE101" s="4">
        <f>IF(G100&lt;=0,0,MIN(AU101,AK101))</f>
      </c>
      <c r="BF101" s="4">
        <f>IF(H100&lt;=0,0,MIN(AV101,AL101))</f>
      </c>
      <c r="BG101" s="4">
        <f>IF(I100&lt;=0,0,MIN(AW101,AM101))</f>
      </c>
      <c r="BH101" s="4">
        <f>IF(J100&lt;=0,0,MIN(AX101,AN101))</f>
      </c>
      <c r="BI101" s="4">
        <f>IF(K100&lt;=0,0,MIN(AY101,AO101))</f>
      </c>
      <c r="BJ101" s="4">
        <f>IF(L100&lt;=0,0,MIN(AZ101,AP101))</f>
      </c>
      <c r="BK101" s="4">
        <f>IF(M100&lt;=0,0,MIN(BA101,AQ101))</f>
      </c>
      <c r="BL101" s="4">
        <f>IF(N100&lt;=0,0,MIN(BB101,AR101))</f>
      </c>
      <c r="BM101" s="4">
        <f>IF(O100&lt;=0,0,MIN(BC101,AS101))</f>
      </c>
      <c r="BN101" s="4">
        <f>IF(P100&lt;=0,0,MIN(BD101,AT101))</f>
      </c>
    </row>
    <row r="102" spans="1:66" x14ac:dyDescent="0.25">
      <c r="A102">
        <v>75</v>
      </c>
      <c r="B102" s="7">
        <f>EDATE($B$17,75)</f>
      </c>
      <c r="C102" s="4">
        <f>SUM(G102:P102)</f>
      </c>
      <c r="D102" s="4">
        <f>SUM(Q102:Z102)</f>
      </c>
      <c r="E102" s="4">
        <f>SUM(AA102:AJ102)+SUM(BE102:BN102)</f>
      </c>
      <c r="G102" s="4">
        <f>MAX(0,AK102-BE102)</f>
      </c>
      <c r="H102" s="4">
        <f>MAX(0,AL102-BF102)</f>
      </c>
      <c r="I102" s="4">
        <f>MAX(0,AM102-BG102)</f>
      </c>
      <c r="J102" s="4">
        <f>MAX(0,AN102-BH102)</f>
      </c>
      <c r="K102" s="4">
        <f>MAX(0,AO102-BI102)</f>
      </c>
      <c r="L102" s="4">
        <f>MAX(0,AP102-BJ102)</f>
      </c>
      <c r="M102" s="4">
        <f>MAX(0,AQ102-BK102)</f>
      </c>
      <c r="N102" s="4">
        <f>MAX(0,AR102-BL102)</f>
      </c>
      <c r="O102" s="4">
        <f>MAX(0,AS102-BM102)</f>
      </c>
      <c r="P102" s="4">
        <f>MAX(0,AT102-BN102)</f>
      </c>
      <c r="Q102" s="4">
        <f>IF(G101&gt;0,G101*($J$5/100/12),0)</f>
      </c>
      <c r="R102" s="4">
        <f>IF(H101&gt;0,H101*($J$6/100/12),0)</f>
      </c>
      <c r="S102" s="4">
        <f>IF(I101&gt;0,I101*($J$7/100/12),0)</f>
      </c>
      <c r="T102" s="4">
        <f>IF(J101&gt;0,J101*($J$8/100/12),0)</f>
      </c>
      <c r="U102" s="4">
        <f>IF(K101&gt;0,K101*($J$9/100/12),0)</f>
      </c>
      <c r="V102" s="4">
        <f>IF(L101&gt;0,L101*($J$10/100/12),0)</f>
      </c>
      <c r="W102" s="4">
        <f>IF(M101&gt;0,M101*($J$11/100/12),0)</f>
      </c>
      <c r="X102" s="4">
        <f>IF(N101&gt;0,N101*($J$12/100/12),0)</f>
      </c>
      <c r="Y102" s="4">
        <f>IF(O101&gt;0,O101*($J$13/100/12),0)</f>
      </c>
      <c r="Z102" s="4">
        <f>IF(P101&gt;0,P101*($J$14/100/12),0)</f>
      </c>
      <c r="AA102" s="4">
        <f>IF(G101&lt;=0,0,MIN($K$5,(G101+Q102)))</f>
      </c>
      <c r="AB102" s="4">
        <f>IF(H101&lt;=0,0,MIN($K$6,(H101+R102)))</f>
      </c>
      <c r="AC102" s="4">
        <f>IF(I101&lt;=0,0,MIN($K$7,(I101+S102)))</f>
      </c>
      <c r="AD102" s="4">
        <f>IF(J101&lt;=0,0,MIN($K$8,(J101+T102)))</f>
      </c>
      <c r="AE102" s="4">
        <f>IF(K101&lt;=0,0,MIN($K$9,(K101+U102)))</f>
      </c>
      <c r="AF102" s="4">
        <f>IF(L101&lt;=0,0,MIN($K$10,(L101+V102)))</f>
      </c>
      <c r="AG102" s="4">
        <f>IF(M101&lt;=0,0,MIN($K$11,(M101+W102)))</f>
      </c>
      <c r="AH102" s="4">
        <f>IF(N101&lt;=0,0,MIN($K$12,(N101+X102)))</f>
      </c>
      <c r="AI102" s="4">
        <f>IF(O101&lt;=0,0,MIN($K$13,(O101+Y102)))</f>
      </c>
      <c r="AJ102" s="4">
        <f>IF(P101&lt;=0,0,MIN($K$14,(P101+Z102)))</f>
      </c>
      <c r="AK102" s="4">
        <f>(G101+Q102)-AA102</f>
      </c>
      <c r="AL102" s="4">
        <f>(H101+R102)-AB102</f>
      </c>
      <c r="AM102" s="4">
        <f>(I101+S102)-AC102</f>
      </c>
      <c r="AN102" s="4">
        <f>(J101+T102)-AD102</f>
      </c>
      <c r="AO102" s="4">
        <f>(K101+U102)-AE102</f>
      </c>
      <c r="AP102" s="4">
        <f>(L101+V102)-AF102</f>
      </c>
      <c r="AQ102" s="4">
        <f>(M101+W102)-AG102</f>
      </c>
      <c r="AR102" s="4">
        <f>(N101+X102)-AH102</f>
      </c>
      <c r="AS102" s="4">
        <f>(O101+Y102)-AI102</f>
      </c>
      <c r="AT102" s="4">
        <f>(P101+Z102)-AJ102</f>
      </c>
      <c r="AU102" s="4">
        <f>$B$16+SUM($K$5:$K$14)-SUM(AA102:AJ102)</f>
      </c>
      <c r="AV102" s="4">
        <f>AU102-BE102</f>
      </c>
      <c r="AW102" s="4">
        <f>AV102-BF102</f>
      </c>
      <c r="AX102" s="4">
        <f>AW102-BG102</f>
      </c>
      <c r="AY102" s="4">
        <f>AX102-BH102</f>
      </c>
      <c r="AZ102" s="4">
        <f>AY102-BI102</f>
      </c>
      <c r="BA102" s="4">
        <f>AZ102-BJ102</f>
      </c>
      <c r="BB102" s="4">
        <f>BA102-BK102</f>
      </c>
      <c r="BC102" s="4">
        <f>BB102-BL102</f>
      </c>
      <c r="BD102" s="4">
        <f>BC102-BM102</f>
      </c>
      <c r="BE102" s="4">
        <f>IF(G101&lt;=0,0,MIN(AU102,AK102))</f>
      </c>
      <c r="BF102" s="4">
        <f>IF(H101&lt;=0,0,MIN(AV102,AL102))</f>
      </c>
      <c r="BG102" s="4">
        <f>IF(I101&lt;=0,0,MIN(AW102,AM102))</f>
      </c>
      <c r="BH102" s="4">
        <f>IF(J101&lt;=0,0,MIN(AX102,AN102))</f>
      </c>
      <c r="BI102" s="4">
        <f>IF(K101&lt;=0,0,MIN(AY102,AO102))</f>
      </c>
      <c r="BJ102" s="4">
        <f>IF(L101&lt;=0,0,MIN(AZ102,AP102))</f>
      </c>
      <c r="BK102" s="4">
        <f>IF(M101&lt;=0,0,MIN(BA102,AQ102))</f>
      </c>
      <c r="BL102" s="4">
        <f>IF(N101&lt;=0,0,MIN(BB102,AR102))</f>
      </c>
      <c r="BM102" s="4">
        <f>IF(O101&lt;=0,0,MIN(BC102,AS102))</f>
      </c>
      <c r="BN102" s="4">
        <f>IF(P101&lt;=0,0,MIN(BD102,AT102))</f>
      </c>
    </row>
    <row r="103" spans="1:66" x14ac:dyDescent="0.25">
      <c r="A103">
        <v>76</v>
      </c>
      <c r="B103" s="7">
        <f>EDATE($B$17,76)</f>
      </c>
      <c r="C103" s="4">
        <f>SUM(G103:P103)</f>
      </c>
      <c r="D103" s="4">
        <f>SUM(Q103:Z103)</f>
      </c>
      <c r="E103" s="4">
        <f>SUM(AA103:AJ103)+SUM(BE103:BN103)</f>
      </c>
      <c r="G103" s="4">
        <f>MAX(0,AK103-BE103)</f>
      </c>
      <c r="H103" s="4">
        <f>MAX(0,AL103-BF103)</f>
      </c>
      <c r="I103" s="4">
        <f>MAX(0,AM103-BG103)</f>
      </c>
      <c r="J103" s="4">
        <f>MAX(0,AN103-BH103)</f>
      </c>
      <c r="K103" s="4">
        <f>MAX(0,AO103-BI103)</f>
      </c>
      <c r="L103" s="4">
        <f>MAX(0,AP103-BJ103)</f>
      </c>
      <c r="M103" s="4">
        <f>MAX(0,AQ103-BK103)</f>
      </c>
      <c r="N103" s="4">
        <f>MAX(0,AR103-BL103)</f>
      </c>
      <c r="O103" s="4">
        <f>MAX(0,AS103-BM103)</f>
      </c>
      <c r="P103" s="4">
        <f>MAX(0,AT103-BN103)</f>
      </c>
      <c r="Q103" s="4">
        <f>IF(G102&gt;0,G102*($J$5/100/12),0)</f>
      </c>
      <c r="R103" s="4">
        <f>IF(H102&gt;0,H102*($J$6/100/12),0)</f>
      </c>
      <c r="S103" s="4">
        <f>IF(I102&gt;0,I102*($J$7/100/12),0)</f>
      </c>
      <c r="T103" s="4">
        <f>IF(J102&gt;0,J102*($J$8/100/12),0)</f>
      </c>
      <c r="U103" s="4">
        <f>IF(K102&gt;0,K102*($J$9/100/12),0)</f>
      </c>
      <c r="V103" s="4">
        <f>IF(L102&gt;0,L102*($J$10/100/12),0)</f>
      </c>
      <c r="W103" s="4">
        <f>IF(M102&gt;0,M102*($J$11/100/12),0)</f>
      </c>
      <c r="X103" s="4">
        <f>IF(N102&gt;0,N102*($J$12/100/12),0)</f>
      </c>
      <c r="Y103" s="4">
        <f>IF(O102&gt;0,O102*($J$13/100/12),0)</f>
      </c>
      <c r="Z103" s="4">
        <f>IF(P102&gt;0,P102*($J$14/100/12),0)</f>
      </c>
      <c r="AA103" s="4">
        <f>IF(G102&lt;=0,0,MIN($K$5,(G102+Q103)))</f>
      </c>
      <c r="AB103" s="4">
        <f>IF(H102&lt;=0,0,MIN($K$6,(H102+R103)))</f>
      </c>
      <c r="AC103" s="4">
        <f>IF(I102&lt;=0,0,MIN($K$7,(I102+S103)))</f>
      </c>
      <c r="AD103" s="4">
        <f>IF(J102&lt;=0,0,MIN($K$8,(J102+T103)))</f>
      </c>
      <c r="AE103" s="4">
        <f>IF(K102&lt;=0,0,MIN($K$9,(K102+U103)))</f>
      </c>
      <c r="AF103" s="4">
        <f>IF(L102&lt;=0,0,MIN($K$10,(L102+V103)))</f>
      </c>
      <c r="AG103" s="4">
        <f>IF(M102&lt;=0,0,MIN($K$11,(M102+W103)))</f>
      </c>
      <c r="AH103" s="4">
        <f>IF(N102&lt;=0,0,MIN($K$12,(N102+X103)))</f>
      </c>
      <c r="AI103" s="4">
        <f>IF(O102&lt;=0,0,MIN($K$13,(O102+Y103)))</f>
      </c>
      <c r="AJ103" s="4">
        <f>IF(P102&lt;=0,0,MIN($K$14,(P102+Z103)))</f>
      </c>
      <c r="AK103" s="4">
        <f>(G102+Q103)-AA103</f>
      </c>
      <c r="AL103" s="4">
        <f>(H102+R103)-AB103</f>
      </c>
      <c r="AM103" s="4">
        <f>(I102+S103)-AC103</f>
      </c>
      <c r="AN103" s="4">
        <f>(J102+T103)-AD103</f>
      </c>
      <c r="AO103" s="4">
        <f>(K102+U103)-AE103</f>
      </c>
      <c r="AP103" s="4">
        <f>(L102+V103)-AF103</f>
      </c>
      <c r="AQ103" s="4">
        <f>(M102+W103)-AG103</f>
      </c>
      <c r="AR103" s="4">
        <f>(N102+X103)-AH103</f>
      </c>
      <c r="AS103" s="4">
        <f>(O102+Y103)-AI103</f>
      </c>
      <c r="AT103" s="4">
        <f>(P102+Z103)-AJ103</f>
      </c>
      <c r="AU103" s="4">
        <f>$B$16+SUM($K$5:$K$14)-SUM(AA103:AJ103)</f>
      </c>
      <c r="AV103" s="4">
        <f>AU103-BE103</f>
      </c>
      <c r="AW103" s="4">
        <f>AV103-BF103</f>
      </c>
      <c r="AX103" s="4">
        <f>AW103-BG103</f>
      </c>
      <c r="AY103" s="4">
        <f>AX103-BH103</f>
      </c>
      <c r="AZ103" s="4">
        <f>AY103-BI103</f>
      </c>
      <c r="BA103" s="4">
        <f>AZ103-BJ103</f>
      </c>
      <c r="BB103" s="4">
        <f>BA103-BK103</f>
      </c>
      <c r="BC103" s="4">
        <f>BB103-BL103</f>
      </c>
      <c r="BD103" s="4">
        <f>BC103-BM103</f>
      </c>
      <c r="BE103" s="4">
        <f>IF(G102&lt;=0,0,MIN(AU103,AK103))</f>
      </c>
      <c r="BF103" s="4">
        <f>IF(H102&lt;=0,0,MIN(AV103,AL103))</f>
      </c>
      <c r="BG103" s="4">
        <f>IF(I102&lt;=0,0,MIN(AW103,AM103))</f>
      </c>
      <c r="BH103" s="4">
        <f>IF(J102&lt;=0,0,MIN(AX103,AN103))</f>
      </c>
      <c r="BI103" s="4">
        <f>IF(K102&lt;=0,0,MIN(AY103,AO103))</f>
      </c>
      <c r="BJ103" s="4">
        <f>IF(L102&lt;=0,0,MIN(AZ103,AP103))</f>
      </c>
      <c r="BK103" s="4">
        <f>IF(M102&lt;=0,0,MIN(BA103,AQ103))</f>
      </c>
      <c r="BL103" s="4">
        <f>IF(N102&lt;=0,0,MIN(BB103,AR103))</f>
      </c>
      <c r="BM103" s="4">
        <f>IF(O102&lt;=0,0,MIN(BC103,AS103))</f>
      </c>
      <c r="BN103" s="4">
        <f>IF(P102&lt;=0,0,MIN(BD103,AT103))</f>
      </c>
    </row>
    <row r="104" spans="1:66" x14ac:dyDescent="0.25">
      <c r="A104">
        <v>77</v>
      </c>
      <c r="B104" s="7">
        <f>EDATE($B$17,77)</f>
      </c>
      <c r="C104" s="4">
        <f>SUM(G104:P104)</f>
      </c>
      <c r="D104" s="4">
        <f>SUM(Q104:Z104)</f>
      </c>
      <c r="E104" s="4">
        <f>SUM(AA104:AJ104)+SUM(BE104:BN104)</f>
      </c>
      <c r="G104" s="4">
        <f>MAX(0,AK104-BE104)</f>
      </c>
      <c r="H104" s="4">
        <f>MAX(0,AL104-BF104)</f>
      </c>
      <c r="I104" s="4">
        <f>MAX(0,AM104-BG104)</f>
      </c>
      <c r="J104" s="4">
        <f>MAX(0,AN104-BH104)</f>
      </c>
      <c r="K104" s="4">
        <f>MAX(0,AO104-BI104)</f>
      </c>
      <c r="L104" s="4">
        <f>MAX(0,AP104-BJ104)</f>
      </c>
      <c r="M104" s="4">
        <f>MAX(0,AQ104-BK104)</f>
      </c>
      <c r="N104" s="4">
        <f>MAX(0,AR104-BL104)</f>
      </c>
      <c r="O104" s="4">
        <f>MAX(0,AS104-BM104)</f>
      </c>
      <c r="P104" s="4">
        <f>MAX(0,AT104-BN104)</f>
      </c>
      <c r="Q104" s="4">
        <f>IF(G103&gt;0,G103*($J$5/100/12),0)</f>
      </c>
      <c r="R104" s="4">
        <f>IF(H103&gt;0,H103*($J$6/100/12),0)</f>
      </c>
      <c r="S104" s="4">
        <f>IF(I103&gt;0,I103*($J$7/100/12),0)</f>
      </c>
      <c r="T104" s="4">
        <f>IF(J103&gt;0,J103*($J$8/100/12),0)</f>
      </c>
      <c r="U104" s="4">
        <f>IF(K103&gt;0,K103*($J$9/100/12),0)</f>
      </c>
      <c r="V104" s="4">
        <f>IF(L103&gt;0,L103*($J$10/100/12),0)</f>
      </c>
      <c r="W104" s="4">
        <f>IF(M103&gt;0,M103*($J$11/100/12),0)</f>
      </c>
      <c r="X104" s="4">
        <f>IF(N103&gt;0,N103*($J$12/100/12),0)</f>
      </c>
      <c r="Y104" s="4">
        <f>IF(O103&gt;0,O103*($J$13/100/12),0)</f>
      </c>
      <c r="Z104" s="4">
        <f>IF(P103&gt;0,P103*($J$14/100/12),0)</f>
      </c>
      <c r="AA104" s="4">
        <f>IF(G103&lt;=0,0,MIN($K$5,(G103+Q104)))</f>
      </c>
      <c r="AB104" s="4">
        <f>IF(H103&lt;=0,0,MIN($K$6,(H103+R104)))</f>
      </c>
      <c r="AC104" s="4">
        <f>IF(I103&lt;=0,0,MIN($K$7,(I103+S104)))</f>
      </c>
      <c r="AD104" s="4">
        <f>IF(J103&lt;=0,0,MIN($K$8,(J103+T104)))</f>
      </c>
      <c r="AE104" s="4">
        <f>IF(K103&lt;=0,0,MIN($K$9,(K103+U104)))</f>
      </c>
      <c r="AF104" s="4">
        <f>IF(L103&lt;=0,0,MIN($K$10,(L103+V104)))</f>
      </c>
      <c r="AG104" s="4">
        <f>IF(M103&lt;=0,0,MIN($K$11,(M103+W104)))</f>
      </c>
      <c r="AH104" s="4">
        <f>IF(N103&lt;=0,0,MIN($K$12,(N103+X104)))</f>
      </c>
      <c r="AI104" s="4">
        <f>IF(O103&lt;=0,0,MIN($K$13,(O103+Y104)))</f>
      </c>
      <c r="AJ104" s="4">
        <f>IF(P103&lt;=0,0,MIN($K$14,(P103+Z104)))</f>
      </c>
      <c r="AK104" s="4">
        <f>(G103+Q104)-AA104</f>
      </c>
      <c r="AL104" s="4">
        <f>(H103+R104)-AB104</f>
      </c>
      <c r="AM104" s="4">
        <f>(I103+S104)-AC104</f>
      </c>
      <c r="AN104" s="4">
        <f>(J103+T104)-AD104</f>
      </c>
      <c r="AO104" s="4">
        <f>(K103+U104)-AE104</f>
      </c>
      <c r="AP104" s="4">
        <f>(L103+V104)-AF104</f>
      </c>
      <c r="AQ104" s="4">
        <f>(M103+W104)-AG104</f>
      </c>
      <c r="AR104" s="4">
        <f>(N103+X104)-AH104</f>
      </c>
      <c r="AS104" s="4">
        <f>(O103+Y104)-AI104</f>
      </c>
      <c r="AT104" s="4">
        <f>(P103+Z104)-AJ104</f>
      </c>
      <c r="AU104" s="4">
        <f>$B$16+SUM($K$5:$K$14)-SUM(AA104:AJ104)</f>
      </c>
      <c r="AV104" s="4">
        <f>AU104-BE104</f>
      </c>
      <c r="AW104" s="4">
        <f>AV104-BF104</f>
      </c>
      <c r="AX104" s="4">
        <f>AW104-BG104</f>
      </c>
      <c r="AY104" s="4">
        <f>AX104-BH104</f>
      </c>
      <c r="AZ104" s="4">
        <f>AY104-BI104</f>
      </c>
      <c r="BA104" s="4">
        <f>AZ104-BJ104</f>
      </c>
      <c r="BB104" s="4">
        <f>BA104-BK104</f>
      </c>
      <c r="BC104" s="4">
        <f>BB104-BL104</f>
      </c>
      <c r="BD104" s="4">
        <f>BC104-BM104</f>
      </c>
      <c r="BE104" s="4">
        <f>IF(G103&lt;=0,0,MIN(AU104,AK104))</f>
      </c>
      <c r="BF104" s="4">
        <f>IF(H103&lt;=0,0,MIN(AV104,AL104))</f>
      </c>
      <c r="BG104" s="4">
        <f>IF(I103&lt;=0,0,MIN(AW104,AM104))</f>
      </c>
      <c r="BH104" s="4">
        <f>IF(J103&lt;=0,0,MIN(AX104,AN104))</f>
      </c>
      <c r="BI104" s="4">
        <f>IF(K103&lt;=0,0,MIN(AY104,AO104))</f>
      </c>
      <c r="BJ104" s="4">
        <f>IF(L103&lt;=0,0,MIN(AZ104,AP104))</f>
      </c>
      <c r="BK104" s="4">
        <f>IF(M103&lt;=0,0,MIN(BA104,AQ104))</f>
      </c>
      <c r="BL104" s="4">
        <f>IF(N103&lt;=0,0,MIN(BB104,AR104))</f>
      </c>
      <c r="BM104" s="4">
        <f>IF(O103&lt;=0,0,MIN(BC104,AS104))</f>
      </c>
      <c r="BN104" s="4">
        <f>IF(P103&lt;=0,0,MIN(BD104,AT104))</f>
      </c>
    </row>
    <row r="105" spans="1:66" x14ac:dyDescent="0.25">
      <c r="A105">
        <v>78</v>
      </c>
      <c r="B105" s="7">
        <f>EDATE($B$17,78)</f>
      </c>
      <c r="C105" s="4">
        <f>SUM(G105:P105)</f>
      </c>
      <c r="D105" s="4">
        <f>SUM(Q105:Z105)</f>
      </c>
      <c r="E105" s="4">
        <f>SUM(AA105:AJ105)+SUM(BE105:BN105)</f>
      </c>
      <c r="G105" s="4">
        <f>MAX(0,AK105-BE105)</f>
      </c>
      <c r="H105" s="4">
        <f>MAX(0,AL105-BF105)</f>
      </c>
      <c r="I105" s="4">
        <f>MAX(0,AM105-BG105)</f>
      </c>
      <c r="J105" s="4">
        <f>MAX(0,AN105-BH105)</f>
      </c>
      <c r="K105" s="4">
        <f>MAX(0,AO105-BI105)</f>
      </c>
      <c r="L105" s="4">
        <f>MAX(0,AP105-BJ105)</f>
      </c>
      <c r="M105" s="4">
        <f>MAX(0,AQ105-BK105)</f>
      </c>
      <c r="N105" s="4">
        <f>MAX(0,AR105-BL105)</f>
      </c>
      <c r="O105" s="4">
        <f>MAX(0,AS105-BM105)</f>
      </c>
      <c r="P105" s="4">
        <f>MAX(0,AT105-BN105)</f>
      </c>
      <c r="Q105" s="4">
        <f>IF(G104&gt;0,G104*($J$5/100/12),0)</f>
      </c>
      <c r="R105" s="4">
        <f>IF(H104&gt;0,H104*($J$6/100/12),0)</f>
      </c>
      <c r="S105" s="4">
        <f>IF(I104&gt;0,I104*($J$7/100/12),0)</f>
      </c>
      <c r="T105" s="4">
        <f>IF(J104&gt;0,J104*($J$8/100/12),0)</f>
      </c>
      <c r="U105" s="4">
        <f>IF(K104&gt;0,K104*($J$9/100/12),0)</f>
      </c>
      <c r="V105" s="4">
        <f>IF(L104&gt;0,L104*($J$10/100/12),0)</f>
      </c>
      <c r="W105" s="4">
        <f>IF(M104&gt;0,M104*($J$11/100/12),0)</f>
      </c>
      <c r="X105" s="4">
        <f>IF(N104&gt;0,N104*($J$12/100/12),0)</f>
      </c>
      <c r="Y105" s="4">
        <f>IF(O104&gt;0,O104*($J$13/100/12),0)</f>
      </c>
      <c r="Z105" s="4">
        <f>IF(P104&gt;0,P104*($J$14/100/12),0)</f>
      </c>
      <c r="AA105" s="4">
        <f>IF(G104&lt;=0,0,MIN($K$5,(G104+Q105)))</f>
      </c>
      <c r="AB105" s="4">
        <f>IF(H104&lt;=0,0,MIN($K$6,(H104+R105)))</f>
      </c>
      <c r="AC105" s="4">
        <f>IF(I104&lt;=0,0,MIN($K$7,(I104+S105)))</f>
      </c>
      <c r="AD105" s="4">
        <f>IF(J104&lt;=0,0,MIN($K$8,(J104+T105)))</f>
      </c>
      <c r="AE105" s="4">
        <f>IF(K104&lt;=0,0,MIN($K$9,(K104+U105)))</f>
      </c>
      <c r="AF105" s="4">
        <f>IF(L104&lt;=0,0,MIN($K$10,(L104+V105)))</f>
      </c>
      <c r="AG105" s="4">
        <f>IF(M104&lt;=0,0,MIN($K$11,(M104+W105)))</f>
      </c>
      <c r="AH105" s="4">
        <f>IF(N104&lt;=0,0,MIN($K$12,(N104+X105)))</f>
      </c>
      <c r="AI105" s="4">
        <f>IF(O104&lt;=0,0,MIN($K$13,(O104+Y105)))</f>
      </c>
      <c r="AJ105" s="4">
        <f>IF(P104&lt;=0,0,MIN($K$14,(P104+Z105)))</f>
      </c>
      <c r="AK105" s="4">
        <f>(G104+Q105)-AA105</f>
      </c>
      <c r="AL105" s="4">
        <f>(H104+R105)-AB105</f>
      </c>
      <c r="AM105" s="4">
        <f>(I104+S105)-AC105</f>
      </c>
      <c r="AN105" s="4">
        <f>(J104+T105)-AD105</f>
      </c>
      <c r="AO105" s="4">
        <f>(K104+U105)-AE105</f>
      </c>
      <c r="AP105" s="4">
        <f>(L104+V105)-AF105</f>
      </c>
      <c r="AQ105" s="4">
        <f>(M104+W105)-AG105</f>
      </c>
      <c r="AR105" s="4">
        <f>(N104+X105)-AH105</f>
      </c>
      <c r="AS105" s="4">
        <f>(O104+Y105)-AI105</f>
      </c>
      <c r="AT105" s="4">
        <f>(P104+Z105)-AJ105</f>
      </c>
      <c r="AU105" s="4">
        <f>$B$16+SUM($K$5:$K$14)-SUM(AA105:AJ105)</f>
      </c>
      <c r="AV105" s="4">
        <f>AU105-BE105</f>
      </c>
      <c r="AW105" s="4">
        <f>AV105-BF105</f>
      </c>
      <c r="AX105" s="4">
        <f>AW105-BG105</f>
      </c>
      <c r="AY105" s="4">
        <f>AX105-BH105</f>
      </c>
      <c r="AZ105" s="4">
        <f>AY105-BI105</f>
      </c>
      <c r="BA105" s="4">
        <f>AZ105-BJ105</f>
      </c>
      <c r="BB105" s="4">
        <f>BA105-BK105</f>
      </c>
      <c r="BC105" s="4">
        <f>BB105-BL105</f>
      </c>
      <c r="BD105" s="4">
        <f>BC105-BM105</f>
      </c>
      <c r="BE105" s="4">
        <f>IF(G104&lt;=0,0,MIN(AU105,AK105))</f>
      </c>
      <c r="BF105" s="4">
        <f>IF(H104&lt;=0,0,MIN(AV105,AL105))</f>
      </c>
      <c r="BG105" s="4">
        <f>IF(I104&lt;=0,0,MIN(AW105,AM105))</f>
      </c>
      <c r="BH105" s="4">
        <f>IF(J104&lt;=0,0,MIN(AX105,AN105))</f>
      </c>
      <c r="BI105" s="4">
        <f>IF(K104&lt;=0,0,MIN(AY105,AO105))</f>
      </c>
      <c r="BJ105" s="4">
        <f>IF(L104&lt;=0,0,MIN(AZ105,AP105))</f>
      </c>
      <c r="BK105" s="4">
        <f>IF(M104&lt;=0,0,MIN(BA105,AQ105))</f>
      </c>
      <c r="BL105" s="4">
        <f>IF(N104&lt;=0,0,MIN(BB105,AR105))</f>
      </c>
      <c r="BM105" s="4">
        <f>IF(O104&lt;=0,0,MIN(BC105,AS105))</f>
      </c>
      <c r="BN105" s="4">
        <f>IF(P104&lt;=0,0,MIN(BD105,AT105))</f>
      </c>
    </row>
    <row r="106" spans="1:66" x14ac:dyDescent="0.25">
      <c r="A106">
        <v>79</v>
      </c>
      <c r="B106" s="7">
        <f>EDATE($B$17,79)</f>
      </c>
      <c r="C106" s="4">
        <f>SUM(G106:P106)</f>
      </c>
      <c r="D106" s="4">
        <f>SUM(Q106:Z106)</f>
      </c>
      <c r="E106" s="4">
        <f>SUM(AA106:AJ106)+SUM(BE106:BN106)</f>
      </c>
      <c r="G106" s="4">
        <f>MAX(0,AK106-BE106)</f>
      </c>
      <c r="H106" s="4">
        <f>MAX(0,AL106-BF106)</f>
      </c>
      <c r="I106" s="4">
        <f>MAX(0,AM106-BG106)</f>
      </c>
      <c r="J106" s="4">
        <f>MAX(0,AN106-BH106)</f>
      </c>
      <c r="K106" s="4">
        <f>MAX(0,AO106-BI106)</f>
      </c>
      <c r="L106" s="4">
        <f>MAX(0,AP106-BJ106)</f>
      </c>
      <c r="M106" s="4">
        <f>MAX(0,AQ106-BK106)</f>
      </c>
      <c r="N106" s="4">
        <f>MAX(0,AR106-BL106)</f>
      </c>
      <c r="O106" s="4">
        <f>MAX(0,AS106-BM106)</f>
      </c>
      <c r="P106" s="4">
        <f>MAX(0,AT106-BN106)</f>
      </c>
      <c r="Q106" s="4">
        <f>IF(G105&gt;0,G105*($J$5/100/12),0)</f>
      </c>
      <c r="R106" s="4">
        <f>IF(H105&gt;0,H105*($J$6/100/12),0)</f>
      </c>
      <c r="S106" s="4">
        <f>IF(I105&gt;0,I105*($J$7/100/12),0)</f>
      </c>
      <c r="T106" s="4">
        <f>IF(J105&gt;0,J105*($J$8/100/12),0)</f>
      </c>
      <c r="U106" s="4">
        <f>IF(K105&gt;0,K105*($J$9/100/12),0)</f>
      </c>
      <c r="V106" s="4">
        <f>IF(L105&gt;0,L105*($J$10/100/12),0)</f>
      </c>
      <c r="W106" s="4">
        <f>IF(M105&gt;0,M105*($J$11/100/12),0)</f>
      </c>
      <c r="X106" s="4">
        <f>IF(N105&gt;0,N105*($J$12/100/12),0)</f>
      </c>
      <c r="Y106" s="4">
        <f>IF(O105&gt;0,O105*($J$13/100/12),0)</f>
      </c>
      <c r="Z106" s="4">
        <f>IF(P105&gt;0,P105*($J$14/100/12),0)</f>
      </c>
      <c r="AA106" s="4">
        <f>IF(G105&lt;=0,0,MIN($K$5,(G105+Q106)))</f>
      </c>
      <c r="AB106" s="4">
        <f>IF(H105&lt;=0,0,MIN($K$6,(H105+R106)))</f>
      </c>
      <c r="AC106" s="4">
        <f>IF(I105&lt;=0,0,MIN($K$7,(I105+S106)))</f>
      </c>
      <c r="AD106" s="4">
        <f>IF(J105&lt;=0,0,MIN($K$8,(J105+T106)))</f>
      </c>
      <c r="AE106" s="4">
        <f>IF(K105&lt;=0,0,MIN($K$9,(K105+U106)))</f>
      </c>
      <c r="AF106" s="4">
        <f>IF(L105&lt;=0,0,MIN($K$10,(L105+V106)))</f>
      </c>
      <c r="AG106" s="4">
        <f>IF(M105&lt;=0,0,MIN($K$11,(M105+W106)))</f>
      </c>
      <c r="AH106" s="4">
        <f>IF(N105&lt;=0,0,MIN($K$12,(N105+X106)))</f>
      </c>
      <c r="AI106" s="4">
        <f>IF(O105&lt;=0,0,MIN($K$13,(O105+Y106)))</f>
      </c>
      <c r="AJ106" s="4">
        <f>IF(P105&lt;=0,0,MIN($K$14,(P105+Z106)))</f>
      </c>
      <c r="AK106" s="4">
        <f>(G105+Q106)-AA106</f>
      </c>
      <c r="AL106" s="4">
        <f>(H105+R106)-AB106</f>
      </c>
      <c r="AM106" s="4">
        <f>(I105+S106)-AC106</f>
      </c>
      <c r="AN106" s="4">
        <f>(J105+T106)-AD106</f>
      </c>
      <c r="AO106" s="4">
        <f>(K105+U106)-AE106</f>
      </c>
      <c r="AP106" s="4">
        <f>(L105+V106)-AF106</f>
      </c>
      <c r="AQ106" s="4">
        <f>(M105+W106)-AG106</f>
      </c>
      <c r="AR106" s="4">
        <f>(N105+X106)-AH106</f>
      </c>
      <c r="AS106" s="4">
        <f>(O105+Y106)-AI106</f>
      </c>
      <c r="AT106" s="4">
        <f>(P105+Z106)-AJ106</f>
      </c>
      <c r="AU106" s="4">
        <f>$B$16+SUM($K$5:$K$14)-SUM(AA106:AJ106)</f>
      </c>
      <c r="AV106" s="4">
        <f>AU106-BE106</f>
      </c>
      <c r="AW106" s="4">
        <f>AV106-BF106</f>
      </c>
      <c r="AX106" s="4">
        <f>AW106-BG106</f>
      </c>
      <c r="AY106" s="4">
        <f>AX106-BH106</f>
      </c>
      <c r="AZ106" s="4">
        <f>AY106-BI106</f>
      </c>
      <c r="BA106" s="4">
        <f>AZ106-BJ106</f>
      </c>
      <c r="BB106" s="4">
        <f>BA106-BK106</f>
      </c>
      <c r="BC106" s="4">
        <f>BB106-BL106</f>
      </c>
      <c r="BD106" s="4">
        <f>BC106-BM106</f>
      </c>
      <c r="BE106" s="4">
        <f>IF(G105&lt;=0,0,MIN(AU106,AK106))</f>
      </c>
      <c r="BF106" s="4">
        <f>IF(H105&lt;=0,0,MIN(AV106,AL106))</f>
      </c>
      <c r="BG106" s="4">
        <f>IF(I105&lt;=0,0,MIN(AW106,AM106))</f>
      </c>
      <c r="BH106" s="4">
        <f>IF(J105&lt;=0,0,MIN(AX106,AN106))</f>
      </c>
      <c r="BI106" s="4">
        <f>IF(K105&lt;=0,0,MIN(AY106,AO106))</f>
      </c>
      <c r="BJ106" s="4">
        <f>IF(L105&lt;=0,0,MIN(AZ106,AP106))</f>
      </c>
      <c r="BK106" s="4">
        <f>IF(M105&lt;=0,0,MIN(BA106,AQ106))</f>
      </c>
      <c r="BL106" s="4">
        <f>IF(N105&lt;=0,0,MIN(BB106,AR106))</f>
      </c>
      <c r="BM106" s="4">
        <f>IF(O105&lt;=0,0,MIN(BC106,AS106))</f>
      </c>
      <c r="BN106" s="4">
        <f>IF(P105&lt;=0,0,MIN(BD106,AT106))</f>
      </c>
    </row>
    <row r="107" spans="1:66" x14ac:dyDescent="0.25">
      <c r="A107">
        <v>80</v>
      </c>
      <c r="B107" s="7">
        <f>EDATE($B$17,80)</f>
      </c>
      <c r="C107" s="4">
        <f>SUM(G107:P107)</f>
      </c>
      <c r="D107" s="4">
        <f>SUM(Q107:Z107)</f>
      </c>
      <c r="E107" s="4">
        <f>SUM(AA107:AJ107)+SUM(BE107:BN107)</f>
      </c>
      <c r="G107" s="4">
        <f>MAX(0,AK107-BE107)</f>
      </c>
      <c r="H107" s="4">
        <f>MAX(0,AL107-BF107)</f>
      </c>
      <c r="I107" s="4">
        <f>MAX(0,AM107-BG107)</f>
      </c>
      <c r="J107" s="4">
        <f>MAX(0,AN107-BH107)</f>
      </c>
      <c r="K107" s="4">
        <f>MAX(0,AO107-BI107)</f>
      </c>
      <c r="L107" s="4">
        <f>MAX(0,AP107-BJ107)</f>
      </c>
      <c r="M107" s="4">
        <f>MAX(0,AQ107-BK107)</f>
      </c>
      <c r="N107" s="4">
        <f>MAX(0,AR107-BL107)</f>
      </c>
      <c r="O107" s="4">
        <f>MAX(0,AS107-BM107)</f>
      </c>
      <c r="P107" s="4">
        <f>MAX(0,AT107-BN107)</f>
      </c>
      <c r="Q107" s="4">
        <f>IF(G106&gt;0,G106*($J$5/100/12),0)</f>
      </c>
      <c r="R107" s="4">
        <f>IF(H106&gt;0,H106*($J$6/100/12),0)</f>
      </c>
      <c r="S107" s="4">
        <f>IF(I106&gt;0,I106*($J$7/100/12),0)</f>
      </c>
      <c r="T107" s="4">
        <f>IF(J106&gt;0,J106*($J$8/100/12),0)</f>
      </c>
      <c r="U107" s="4">
        <f>IF(K106&gt;0,K106*($J$9/100/12),0)</f>
      </c>
      <c r="V107" s="4">
        <f>IF(L106&gt;0,L106*($J$10/100/12),0)</f>
      </c>
      <c r="W107" s="4">
        <f>IF(M106&gt;0,M106*($J$11/100/12),0)</f>
      </c>
      <c r="X107" s="4">
        <f>IF(N106&gt;0,N106*($J$12/100/12),0)</f>
      </c>
      <c r="Y107" s="4">
        <f>IF(O106&gt;0,O106*($J$13/100/12),0)</f>
      </c>
      <c r="Z107" s="4">
        <f>IF(P106&gt;0,P106*($J$14/100/12),0)</f>
      </c>
      <c r="AA107" s="4">
        <f>IF(G106&lt;=0,0,MIN($K$5,(G106+Q107)))</f>
      </c>
      <c r="AB107" s="4">
        <f>IF(H106&lt;=0,0,MIN($K$6,(H106+R107)))</f>
      </c>
      <c r="AC107" s="4">
        <f>IF(I106&lt;=0,0,MIN($K$7,(I106+S107)))</f>
      </c>
      <c r="AD107" s="4">
        <f>IF(J106&lt;=0,0,MIN($K$8,(J106+T107)))</f>
      </c>
      <c r="AE107" s="4">
        <f>IF(K106&lt;=0,0,MIN($K$9,(K106+U107)))</f>
      </c>
      <c r="AF107" s="4">
        <f>IF(L106&lt;=0,0,MIN($K$10,(L106+V107)))</f>
      </c>
      <c r="AG107" s="4">
        <f>IF(M106&lt;=0,0,MIN($K$11,(M106+W107)))</f>
      </c>
      <c r="AH107" s="4">
        <f>IF(N106&lt;=0,0,MIN($K$12,(N106+X107)))</f>
      </c>
      <c r="AI107" s="4">
        <f>IF(O106&lt;=0,0,MIN($K$13,(O106+Y107)))</f>
      </c>
      <c r="AJ107" s="4">
        <f>IF(P106&lt;=0,0,MIN($K$14,(P106+Z107)))</f>
      </c>
      <c r="AK107" s="4">
        <f>(G106+Q107)-AA107</f>
      </c>
      <c r="AL107" s="4">
        <f>(H106+R107)-AB107</f>
      </c>
      <c r="AM107" s="4">
        <f>(I106+S107)-AC107</f>
      </c>
      <c r="AN107" s="4">
        <f>(J106+T107)-AD107</f>
      </c>
      <c r="AO107" s="4">
        <f>(K106+U107)-AE107</f>
      </c>
      <c r="AP107" s="4">
        <f>(L106+V107)-AF107</f>
      </c>
      <c r="AQ107" s="4">
        <f>(M106+W107)-AG107</f>
      </c>
      <c r="AR107" s="4">
        <f>(N106+X107)-AH107</f>
      </c>
      <c r="AS107" s="4">
        <f>(O106+Y107)-AI107</f>
      </c>
      <c r="AT107" s="4">
        <f>(P106+Z107)-AJ107</f>
      </c>
      <c r="AU107" s="4">
        <f>$B$16+SUM($K$5:$K$14)-SUM(AA107:AJ107)</f>
      </c>
      <c r="AV107" s="4">
        <f>AU107-BE107</f>
      </c>
      <c r="AW107" s="4">
        <f>AV107-BF107</f>
      </c>
      <c r="AX107" s="4">
        <f>AW107-BG107</f>
      </c>
      <c r="AY107" s="4">
        <f>AX107-BH107</f>
      </c>
      <c r="AZ107" s="4">
        <f>AY107-BI107</f>
      </c>
      <c r="BA107" s="4">
        <f>AZ107-BJ107</f>
      </c>
      <c r="BB107" s="4">
        <f>BA107-BK107</f>
      </c>
      <c r="BC107" s="4">
        <f>BB107-BL107</f>
      </c>
      <c r="BD107" s="4">
        <f>BC107-BM107</f>
      </c>
      <c r="BE107" s="4">
        <f>IF(G106&lt;=0,0,MIN(AU107,AK107))</f>
      </c>
      <c r="BF107" s="4">
        <f>IF(H106&lt;=0,0,MIN(AV107,AL107))</f>
      </c>
      <c r="BG107" s="4">
        <f>IF(I106&lt;=0,0,MIN(AW107,AM107))</f>
      </c>
      <c r="BH107" s="4">
        <f>IF(J106&lt;=0,0,MIN(AX107,AN107))</f>
      </c>
      <c r="BI107" s="4">
        <f>IF(K106&lt;=0,0,MIN(AY107,AO107))</f>
      </c>
      <c r="BJ107" s="4">
        <f>IF(L106&lt;=0,0,MIN(AZ107,AP107))</f>
      </c>
      <c r="BK107" s="4">
        <f>IF(M106&lt;=0,0,MIN(BA107,AQ107))</f>
      </c>
      <c r="BL107" s="4">
        <f>IF(N106&lt;=0,0,MIN(BB107,AR107))</f>
      </c>
      <c r="BM107" s="4">
        <f>IF(O106&lt;=0,0,MIN(BC107,AS107))</f>
      </c>
      <c r="BN107" s="4">
        <f>IF(P106&lt;=0,0,MIN(BD107,AT107))</f>
      </c>
    </row>
    <row r="108" spans="1:66" x14ac:dyDescent="0.25">
      <c r="A108">
        <v>81</v>
      </c>
      <c r="B108" s="7">
        <f>EDATE($B$17,81)</f>
      </c>
      <c r="C108" s="4">
        <f>SUM(G108:P108)</f>
      </c>
      <c r="D108" s="4">
        <f>SUM(Q108:Z108)</f>
      </c>
      <c r="E108" s="4">
        <f>SUM(AA108:AJ108)+SUM(BE108:BN108)</f>
      </c>
      <c r="G108" s="4">
        <f>MAX(0,AK108-BE108)</f>
      </c>
      <c r="H108" s="4">
        <f>MAX(0,AL108-BF108)</f>
      </c>
      <c r="I108" s="4">
        <f>MAX(0,AM108-BG108)</f>
      </c>
      <c r="J108" s="4">
        <f>MAX(0,AN108-BH108)</f>
      </c>
      <c r="K108" s="4">
        <f>MAX(0,AO108-BI108)</f>
      </c>
      <c r="L108" s="4">
        <f>MAX(0,AP108-BJ108)</f>
      </c>
      <c r="M108" s="4">
        <f>MAX(0,AQ108-BK108)</f>
      </c>
      <c r="N108" s="4">
        <f>MAX(0,AR108-BL108)</f>
      </c>
      <c r="O108" s="4">
        <f>MAX(0,AS108-BM108)</f>
      </c>
      <c r="P108" s="4">
        <f>MAX(0,AT108-BN108)</f>
      </c>
      <c r="Q108" s="4">
        <f>IF(G107&gt;0,G107*($J$5/100/12),0)</f>
      </c>
      <c r="R108" s="4">
        <f>IF(H107&gt;0,H107*($J$6/100/12),0)</f>
      </c>
      <c r="S108" s="4">
        <f>IF(I107&gt;0,I107*($J$7/100/12),0)</f>
      </c>
      <c r="T108" s="4">
        <f>IF(J107&gt;0,J107*($J$8/100/12),0)</f>
      </c>
      <c r="U108" s="4">
        <f>IF(K107&gt;0,K107*($J$9/100/12),0)</f>
      </c>
      <c r="V108" s="4">
        <f>IF(L107&gt;0,L107*($J$10/100/12),0)</f>
      </c>
      <c r="W108" s="4">
        <f>IF(M107&gt;0,M107*($J$11/100/12),0)</f>
      </c>
      <c r="X108" s="4">
        <f>IF(N107&gt;0,N107*($J$12/100/12),0)</f>
      </c>
      <c r="Y108" s="4">
        <f>IF(O107&gt;0,O107*($J$13/100/12),0)</f>
      </c>
      <c r="Z108" s="4">
        <f>IF(P107&gt;0,P107*($J$14/100/12),0)</f>
      </c>
      <c r="AA108" s="4">
        <f>IF(G107&lt;=0,0,MIN($K$5,(G107+Q108)))</f>
      </c>
      <c r="AB108" s="4">
        <f>IF(H107&lt;=0,0,MIN($K$6,(H107+R108)))</f>
      </c>
      <c r="AC108" s="4">
        <f>IF(I107&lt;=0,0,MIN($K$7,(I107+S108)))</f>
      </c>
      <c r="AD108" s="4">
        <f>IF(J107&lt;=0,0,MIN($K$8,(J107+T108)))</f>
      </c>
      <c r="AE108" s="4">
        <f>IF(K107&lt;=0,0,MIN($K$9,(K107+U108)))</f>
      </c>
      <c r="AF108" s="4">
        <f>IF(L107&lt;=0,0,MIN($K$10,(L107+V108)))</f>
      </c>
      <c r="AG108" s="4">
        <f>IF(M107&lt;=0,0,MIN($K$11,(M107+W108)))</f>
      </c>
      <c r="AH108" s="4">
        <f>IF(N107&lt;=0,0,MIN($K$12,(N107+X108)))</f>
      </c>
      <c r="AI108" s="4">
        <f>IF(O107&lt;=0,0,MIN($K$13,(O107+Y108)))</f>
      </c>
      <c r="AJ108" s="4">
        <f>IF(P107&lt;=0,0,MIN($K$14,(P107+Z108)))</f>
      </c>
      <c r="AK108" s="4">
        <f>(G107+Q108)-AA108</f>
      </c>
      <c r="AL108" s="4">
        <f>(H107+R108)-AB108</f>
      </c>
      <c r="AM108" s="4">
        <f>(I107+S108)-AC108</f>
      </c>
      <c r="AN108" s="4">
        <f>(J107+T108)-AD108</f>
      </c>
      <c r="AO108" s="4">
        <f>(K107+U108)-AE108</f>
      </c>
      <c r="AP108" s="4">
        <f>(L107+V108)-AF108</f>
      </c>
      <c r="AQ108" s="4">
        <f>(M107+W108)-AG108</f>
      </c>
      <c r="AR108" s="4">
        <f>(N107+X108)-AH108</f>
      </c>
      <c r="AS108" s="4">
        <f>(O107+Y108)-AI108</f>
      </c>
      <c r="AT108" s="4">
        <f>(P107+Z108)-AJ108</f>
      </c>
      <c r="AU108" s="4">
        <f>$B$16+SUM($K$5:$K$14)-SUM(AA108:AJ108)</f>
      </c>
      <c r="AV108" s="4">
        <f>AU108-BE108</f>
      </c>
      <c r="AW108" s="4">
        <f>AV108-BF108</f>
      </c>
      <c r="AX108" s="4">
        <f>AW108-BG108</f>
      </c>
      <c r="AY108" s="4">
        <f>AX108-BH108</f>
      </c>
      <c r="AZ108" s="4">
        <f>AY108-BI108</f>
      </c>
      <c r="BA108" s="4">
        <f>AZ108-BJ108</f>
      </c>
      <c r="BB108" s="4">
        <f>BA108-BK108</f>
      </c>
      <c r="BC108" s="4">
        <f>BB108-BL108</f>
      </c>
      <c r="BD108" s="4">
        <f>BC108-BM108</f>
      </c>
      <c r="BE108" s="4">
        <f>IF(G107&lt;=0,0,MIN(AU108,AK108))</f>
      </c>
      <c r="BF108" s="4">
        <f>IF(H107&lt;=0,0,MIN(AV108,AL108))</f>
      </c>
      <c r="BG108" s="4">
        <f>IF(I107&lt;=0,0,MIN(AW108,AM108))</f>
      </c>
      <c r="BH108" s="4">
        <f>IF(J107&lt;=0,0,MIN(AX108,AN108))</f>
      </c>
      <c r="BI108" s="4">
        <f>IF(K107&lt;=0,0,MIN(AY108,AO108))</f>
      </c>
      <c r="BJ108" s="4">
        <f>IF(L107&lt;=0,0,MIN(AZ108,AP108))</f>
      </c>
      <c r="BK108" s="4">
        <f>IF(M107&lt;=0,0,MIN(BA108,AQ108))</f>
      </c>
      <c r="BL108" s="4">
        <f>IF(N107&lt;=0,0,MIN(BB108,AR108))</f>
      </c>
      <c r="BM108" s="4">
        <f>IF(O107&lt;=0,0,MIN(BC108,AS108))</f>
      </c>
      <c r="BN108" s="4">
        <f>IF(P107&lt;=0,0,MIN(BD108,AT108))</f>
      </c>
    </row>
    <row r="109" spans="1:66" x14ac:dyDescent="0.25">
      <c r="A109">
        <v>82</v>
      </c>
      <c r="B109" s="7">
        <f>EDATE($B$17,82)</f>
      </c>
      <c r="C109" s="4">
        <f>SUM(G109:P109)</f>
      </c>
      <c r="D109" s="4">
        <f>SUM(Q109:Z109)</f>
      </c>
      <c r="E109" s="4">
        <f>SUM(AA109:AJ109)+SUM(BE109:BN109)</f>
      </c>
      <c r="G109" s="4">
        <f>MAX(0,AK109-BE109)</f>
      </c>
      <c r="H109" s="4">
        <f>MAX(0,AL109-BF109)</f>
      </c>
      <c r="I109" s="4">
        <f>MAX(0,AM109-BG109)</f>
      </c>
      <c r="J109" s="4">
        <f>MAX(0,AN109-BH109)</f>
      </c>
      <c r="K109" s="4">
        <f>MAX(0,AO109-BI109)</f>
      </c>
      <c r="L109" s="4">
        <f>MAX(0,AP109-BJ109)</f>
      </c>
      <c r="M109" s="4">
        <f>MAX(0,AQ109-BK109)</f>
      </c>
      <c r="N109" s="4">
        <f>MAX(0,AR109-BL109)</f>
      </c>
      <c r="O109" s="4">
        <f>MAX(0,AS109-BM109)</f>
      </c>
      <c r="P109" s="4">
        <f>MAX(0,AT109-BN109)</f>
      </c>
      <c r="Q109" s="4">
        <f>IF(G108&gt;0,G108*($J$5/100/12),0)</f>
      </c>
      <c r="R109" s="4">
        <f>IF(H108&gt;0,H108*($J$6/100/12),0)</f>
      </c>
      <c r="S109" s="4">
        <f>IF(I108&gt;0,I108*($J$7/100/12),0)</f>
      </c>
      <c r="T109" s="4">
        <f>IF(J108&gt;0,J108*($J$8/100/12),0)</f>
      </c>
      <c r="U109" s="4">
        <f>IF(K108&gt;0,K108*($J$9/100/12),0)</f>
      </c>
      <c r="V109" s="4">
        <f>IF(L108&gt;0,L108*($J$10/100/12),0)</f>
      </c>
      <c r="W109" s="4">
        <f>IF(M108&gt;0,M108*($J$11/100/12),0)</f>
      </c>
      <c r="X109" s="4">
        <f>IF(N108&gt;0,N108*($J$12/100/12),0)</f>
      </c>
      <c r="Y109" s="4">
        <f>IF(O108&gt;0,O108*($J$13/100/12),0)</f>
      </c>
      <c r="Z109" s="4">
        <f>IF(P108&gt;0,P108*($J$14/100/12),0)</f>
      </c>
      <c r="AA109" s="4">
        <f>IF(G108&lt;=0,0,MIN($K$5,(G108+Q109)))</f>
      </c>
      <c r="AB109" s="4">
        <f>IF(H108&lt;=0,0,MIN($K$6,(H108+R109)))</f>
      </c>
      <c r="AC109" s="4">
        <f>IF(I108&lt;=0,0,MIN($K$7,(I108+S109)))</f>
      </c>
      <c r="AD109" s="4">
        <f>IF(J108&lt;=0,0,MIN($K$8,(J108+T109)))</f>
      </c>
      <c r="AE109" s="4">
        <f>IF(K108&lt;=0,0,MIN($K$9,(K108+U109)))</f>
      </c>
      <c r="AF109" s="4">
        <f>IF(L108&lt;=0,0,MIN($K$10,(L108+V109)))</f>
      </c>
      <c r="AG109" s="4">
        <f>IF(M108&lt;=0,0,MIN($K$11,(M108+W109)))</f>
      </c>
      <c r="AH109" s="4">
        <f>IF(N108&lt;=0,0,MIN($K$12,(N108+X109)))</f>
      </c>
      <c r="AI109" s="4">
        <f>IF(O108&lt;=0,0,MIN($K$13,(O108+Y109)))</f>
      </c>
      <c r="AJ109" s="4">
        <f>IF(P108&lt;=0,0,MIN($K$14,(P108+Z109)))</f>
      </c>
      <c r="AK109" s="4">
        <f>(G108+Q109)-AA109</f>
      </c>
      <c r="AL109" s="4">
        <f>(H108+R109)-AB109</f>
      </c>
      <c r="AM109" s="4">
        <f>(I108+S109)-AC109</f>
      </c>
      <c r="AN109" s="4">
        <f>(J108+T109)-AD109</f>
      </c>
      <c r="AO109" s="4">
        <f>(K108+U109)-AE109</f>
      </c>
      <c r="AP109" s="4">
        <f>(L108+V109)-AF109</f>
      </c>
      <c r="AQ109" s="4">
        <f>(M108+W109)-AG109</f>
      </c>
      <c r="AR109" s="4">
        <f>(N108+X109)-AH109</f>
      </c>
      <c r="AS109" s="4">
        <f>(O108+Y109)-AI109</f>
      </c>
      <c r="AT109" s="4">
        <f>(P108+Z109)-AJ109</f>
      </c>
      <c r="AU109" s="4">
        <f>$B$16+SUM($K$5:$K$14)-SUM(AA109:AJ109)</f>
      </c>
      <c r="AV109" s="4">
        <f>AU109-BE109</f>
      </c>
      <c r="AW109" s="4">
        <f>AV109-BF109</f>
      </c>
      <c r="AX109" s="4">
        <f>AW109-BG109</f>
      </c>
      <c r="AY109" s="4">
        <f>AX109-BH109</f>
      </c>
      <c r="AZ109" s="4">
        <f>AY109-BI109</f>
      </c>
      <c r="BA109" s="4">
        <f>AZ109-BJ109</f>
      </c>
      <c r="BB109" s="4">
        <f>BA109-BK109</f>
      </c>
      <c r="BC109" s="4">
        <f>BB109-BL109</f>
      </c>
      <c r="BD109" s="4">
        <f>BC109-BM109</f>
      </c>
      <c r="BE109" s="4">
        <f>IF(G108&lt;=0,0,MIN(AU109,AK109))</f>
      </c>
      <c r="BF109" s="4">
        <f>IF(H108&lt;=0,0,MIN(AV109,AL109))</f>
      </c>
      <c r="BG109" s="4">
        <f>IF(I108&lt;=0,0,MIN(AW109,AM109))</f>
      </c>
      <c r="BH109" s="4">
        <f>IF(J108&lt;=0,0,MIN(AX109,AN109))</f>
      </c>
      <c r="BI109" s="4">
        <f>IF(K108&lt;=0,0,MIN(AY109,AO109))</f>
      </c>
      <c r="BJ109" s="4">
        <f>IF(L108&lt;=0,0,MIN(AZ109,AP109))</f>
      </c>
      <c r="BK109" s="4">
        <f>IF(M108&lt;=0,0,MIN(BA109,AQ109))</f>
      </c>
      <c r="BL109" s="4">
        <f>IF(N108&lt;=0,0,MIN(BB109,AR109))</f>
      </c>
      <c r="BM109" s="4">
        <f>IF(O108&lt;=0,0,MIN(BC109,AS109))</f>
      </c>
      <c r="BN109" s="4">
        <f>IF(P108&lt;=0,0,MIN(BD109,AT109))</f>
      </c>
    </row>
    <row r="110" spans="1:66" x14ac:dyDescent="0.25">
      <c r="A110">
        <v>83</v>
      </c>
      <c r="B110" s="7">
        <f>EDATE($B$17,83)</f>
      </c>
      <c r="C110" s="4">
        <f>SUM(G110:P110)</f>
      </c>
      <c r="D110" s="4">
        <f>SUM(Q110:Z110)</f>
      </c>
      <c r="E110" s="4">
        <f>SUM(AA110:AJ110)+SUM(BE110:BN110)</f>
      </c>
      <c r="G110" s="4">
        <f>MAX(0,AK110-BE110)</f>
      </c>
      <c r="H110" s="4">
        <f>MAX(0,AL110-BF110)</f>
      </c>
      <c r="I110" s="4">
        <f>MAX(0,AM110-BG110)</f>
      </c>
      <c r="J110" s="4">
        <f>MAX(0,AN110-BH110)</f>
      </c>
      <c r="K110" s="4">
        <f>MAX(0,AO110-BI110)</f>
      </c>
      <c r="L110" s="4">
        <f>MAX(0,AP110-BJ110)</f>
      </c>
      <c r="M110" s="4">
        <f>MAX(0,AQ110-BK110)</f>
      </c>
      <c r="N110" s="4">
        <f>MAX(0,AR110-BL110)</f>
      </c>
      <c r="O110" s="4">
        <f>MAX(0,AS110-BM110)</f>
      </c>
      <c r="P110" s="4">
        <f>MAX(0,AT110-BN110)</f>
      </c>
      <c r="Q110" s="4">
        <f>IF(G109&gt;0,G109*($J$5/100/12),0)</f>
      </c>
      <c r="R110" s="4">
        <f>IF(H109&gt;0,H109*($J$6/100/12),0)</f>
      </c>
      <c r="S110" s="4">
        <f>IF(I109&gt;0,I109*($J$7/100/12),0)</f>
      </c>
      <c r="T110" s="4">
        <f>IF(J109&gt;0,J109*($J$8/100/12),0)</f>
      </c>
      <c r="U110" s="4">
        <f>IF(K109&gt;0,K109*($J$9/100/12),0)</f>
      </c>
      <c r="V110" s="4">
        <f>IF(L109&gt;0,L109*($J$10/100/12),0)</f>
      </c>
      <c r="W110" s="4">
        <f>IF(M109&gt;0,M109*($J$11/100/12),0)</f>
      </c>
      <c r="X110" s="4">
        <f>IF(N109&gt;0,N109*($J$12/100/12),0)</f>
      </c>
      <c r="Y110" s="4">
        <f>IF(O109&gt;0,O109*($J$13/100/12),0)</f>
      </c>
      <c r="Z110" s="4">
        <f>IF(P109&gt;0,P109*($J$14/100/12),0)</f>
      </c>
      <c r="AA110" s="4">
        <f>IF(G109&lt;=0,0,MIN($K$5,(G109+Q110)))</f>
      </c>
      <c r="AB110" s="4">
        <f>IF(H109&lt;=0,0,MIN($K$6,(H109+R110)))</f>
      </c>
      <c r="AC110" s="4">
        <f>IF(I109&lt;=0,0,MIN($K$7,(I109+S110)))</f>
      </c>
      <c r="AD110" s="4">
        <f>IF(J109&lt;=0,0,MIN($K$8,(J109+T110)))</f>
      </c>
      <c r="AE110" s="4">
        <f>IF(K109&lt;=0,0,MIN($K$9,(K109+U110)))</f>
      </c>
      <c r="AF110" s="4">
        <f>IF(L109&lt;=0,0,MIN($K$10,(L109+V110)))</f>
      </c>
      <c r="AG110" s="4">
        <f>IF(M109&lt;=0,0,MIN($K$11,(M109+W110)))</f>
      </c>
      <c r="AH110" s="4">
        <f>IF(N109&lt;=0,0,MIN($K$12,(N109+X110)))</f>
      </c>
      <c r="AI110" s="4">
        <f>IF(O109&lt;=0,0,MIN($K$13,(O109+Y110)))</f>
      </c>
      <c r="AJ110" s="4">
        <f>IF(P109&lt;=0,0,MIN($K$14,(P109+Z110)))</f>
      </c>
      <c r="AK110" s="4">
        <f>(G109+Q110)-AA110</f>
      </c>
      <c r="AL110" s="4">
        <f>(H109+R110)-AB110</f>
      </c>
      <c r="AM110" s="4">
        <f>(I109+S110)-AC110</f>
      </c>
      <c r="AN110" s="4">
        <f>(J109+T110)-AD110</f>
      </c>
      <c r="AO110" s="4">
        <f>(K109+U110)-AE110</f>
      </c>
      <c r="AP110" s="4">
        <f>(L109+V110)-AF110</f>
      </c>
      <c r="AQ110" s="4">
        <f>(M109+W110)-AG110</f>
      </c>
      <c r="AR110" s="4">
        <f>(N109+X110)-AH110</f>
      </c>
      <c r="AS110" s="4">
        <f>(O109+Y110)-AI110</f>
      </c>
      <c r="AT110" s="4">
        <f>(P109+Z110)-AJ110</f>
      </c>
      <c r="AU110" s="4">
        <f>$B$16+SUM($K$5:$K$14)-SUM(AA110:AJ110)</f>
      </c>
      <c r="AV110" s="4">
        <f>AU110-BE110</f>
      </c>
      <c r="AW110" s="4">
        <f>AV110-BF110</f>
      </c>
      <c r="AX110" s="4">
        <f>AW110-BG110</f>
      </c>
      <c r="AY110" s="4">
        <f>AX110-BH110</f>
      </c>
      <c r="AZ110" s="4">
        <f>AY110-BI110</f>
      </c>
      <c r="BA110" s="4">
        <f>AZ110-BJ110</f>
      </c>
      <c r="BB110" s="4">
        <f>BA110-BK110</f>
      </c>
      <c r="BC110" s="4">
        <f>BB110-BL110</f>
      </c>
      <c r="BD110" s="4">
        <f>BC110-BM110</f>
      </c>
      <c r="BE110" s="4">
        <f>IF(G109&lt;=0,0,MIN(AU110,AK110))</f>
      </c>
      <c r="BF110" s="4">
        <f>IF(H109&lt;=0,0,MIN(AV110,AL110))</f>
      </c>
      <c r="BG110" s="4">
        <f>IF(I109&lt;=0,0,MIN(AW110,AM110))</f>
      </c>
      <c r="BH110" s="4">
        <f>IF(J109&lt;=0,0,MIN(AX110,AN110))</f>
      </c>
      <c r="BI110" s="4">
        <f>IF(K109&lt;=0,0,MIN(AY110,AO110))</f>
      </c>
      <c r="BJ110" s="4">
        <f>IF(L109&lt;=0,0,MIN(AZ110,AP110))</f>
      </c>
      <c r="BK110" s="4">
        <f>IF(M109&lt;=0,0,MIN(BA110,AQ110))</f>
      </c>
      <c r="BL110" s="4">
        <f>IF(N109&lt;=0,0,MIN(BB110,AR110))</f>
      </c>
      <c r="BM110" s="4">
        <f>IF(O109&lt;=0,0,MIN(BC110,AS110))</f>
      </c>
      <c r="BN110" s="4">
        <f>IF(P109&lt;=0,0,MIN(BD110,AT110))</f>
      </c>
    </row>
    <row r="111" spans="1:66" x14ac:dyDescent="0.25">
      <c r="A111">
        <v>84</v>
      </c>
      <c r="B111" s="7">
        <f>EDATE($B$17,84)</f>
      </c>
      <c r="C111" s="4">
        <f>SUM(G111:P111)</f>
      </c>
      <c r="D111" s="4">
        <f>SUM(Q111:Z111)</f>
      </c>
      <c r="E111" s="4">
        <f>SUM(AA111:AJ111)+SUM(BE111:BN111)</f>
      </c>
      <c r="G111" s="4">
        <f>MAX(0,AK111-BE111)</f>
      </c>
      <c r="H111" s="4">
        <f>MAX(0,AL111-BF111)</f>
      </c>
      <c r="I111" s="4">
        <f>MAX(0,AM111-BG111)</f>
      </c>
      <c r="J111" s="4">
        <f>MAX(0,AN111-BH111)</f>
      </c>
      <c r="K111" s="4">
        <f>MAX(0,AO111-BI111)</f>
      </c>
      <c r="L111" s="4">
        <f>MAX(0,AP111-BJ111)</f>
      </c>
      <c r="M111" s="4">
        <f>MAX(0,AQ111-BK111)</f>
      </c>
      <c r="N111" s="4">
        <f>MAX(0,AR111-BL111)</f>
      </c>
      <c r="O111" s="4">
        <f>MAX(0,AS111-BM111)</f>
      </c>
      <c r="P111" s="4">
        <f>MAX(0,AT111-BN111)</f>
      </c>
      <c r="Q111" s="4">
        <f>IF(G110&gt;0,G110*($J$5/100/12),0)</f>
      </c>
      <c r="R111" s="4">
        <f>IF(H110&gt;0,H110*($J$6/100/12),0)</f>
      </c>
      <c r="S111" s="4">
        <f>IF(I110&gt;0,I110*($J$7/100/12),0)</f>
      </c>
      <c r="T111" s="4">
        <f>IF(J110&gt;0,J110*($J$8/100/12),0)</f>
      </c>
      <c r="U111" s="4">
        <f>IF(K110&gt;0,K110*($J$9/100/12),0)</f>
      </c>
      <c r="V111" s="4">
        <f>IF(L110&gt;0,L110*($J$10/100/12),0)</f>
      </c>
      <c r="W111" s="4">
        <f>IF(M110&gt;0,M110*($J$11/100/12),0)</f>
      </c>
      <c r="X111" s="4">
        <f>IF(N110&gt;0,N110*($J$12/100/12),0)</f>
      </c>
      <c r="Y111" s="4">
        <f>IF(O110&gt;0,O110*($J$13/100/12),0)</f>
      </c>
      <c r="Z111" s="4">
        <f>IF(P110&gt;0,P110*($J$14/100/12),0)</f>
      </c>
      <c r="AA111" s="4">
        <f>IF(G110&lt;=0,0,MIN($K$5,(G110+Q111)))</f>
      </c>
      <c r="AB111" s="4">
        <f>IF(H110&lt;=0,0,MIN($K$6,(H110+R111)))</f>
      </c>
      <c r="AC111" s="4">
        <f>IF(I110&lt;=0,0,MIN($K$7,(I110+S111)))</f>
      </c>
      <c r="AD111" s="4">
        <f>IF(J110&lt;=0,0,MIN($K$8,(J110+T111)))</f>
      </c>
      <c r="AE111" s="4">
        <f>IF(K110&lt;=0,0,MIN($K$9,(K110+U111)))</f>
      </c>
      <c r="AF111" s="4">
        <f>IF(L110&lt;=0,0,MIN($K$10,(L110+V111)))</f>
      </c>
      <c r="AG111" s="4">
        <f>IF(M110&lt;=0,0,MIN($K$11,(M110+W111)))</f>
      </c>
      <c r="AH111" s="4">
        <f>IF(N110&lt;=0,0,MIN($K$12,(N110+X111)))</f>
      </c>
      <c r="AI111" s="4">
        <f>IF(O110&lt;=0,0,MIN($K$13,(O110+Y111)))</f>
      </c>
      <c r="AJ111" s="4">
        <f>IF(P110&lt;=0,0,MIN($K$14,(P110+Z111)))</f>
      </c>
      <c r="AK111" s="4">
        <f>(G110+Q111)-AA111</f>
      </c>
      <c r="AL111" s="4">
        <f>(H110+R111)-AB111</f>
      </c>
      <c r="AM111" s="4">
        <f>(I110+S111)-AC111</f>
      </c>
      <c r="AN111" s="4">
        <f>(J110+T111)-AD111</f>
      </c>
      <c r="AO111" s="4">
        <f>(K110+U111)-AE111</f>
      </c>
      <c r="AP111" s="4">
        <f>(L110+V111)-AF111</f>
      </c>
      <c r="AQ111" s="4">
        <f>(M110+W111)-AG111</f>
      </c>
      <c r="AR111" s="4">
        <f>(N110+X111)-AH111</f>
      </c>
      <c r="AS111" s="4">
        <f>(O110+Y111)-AI111</f>
      </c>
      <c r="AT111" s="4">
        <f>(P110+Z111)-AJ111</f>
      </c>
      <c r="AU111" s="4">
        <f>$B$16+SUM($K$5:$K$14)-SUM(AA111:AJ111)</f>
      </c>
      <c r="AV111" s="4">
        <f>AU111-BE111</f>
      </c>
      <c r="AW111" s="4">
        <f>AV111-BF111</f>
      </c>
      <c r="AX111" s="4">
        <f>AW111-BG111</f>
      </c>
      <c r="AY111" s="4">
        <f>AX111-BH111</f>
      </c>
      <c r="AZ111" s="4">
        <f>AY111-BI111</f>
      </c>
      <c r="BA111" s="4">
        <f>AZ111-BJ111</f>
      </c>
      <c r="BB111" s="4">
        <f>BA111-BK111</f>
      </c>
      <c r="BC111" s="4">
        <f>BB111-BL111</f>
      </c>
      <c r="BD111" s="4">
        <f>BC111-BM111</f>
      </c>
      <c r="BE111" s="4">
        <f>IF(G110&lt;=0,0,MIN(AU111,AK111))</f>
      </c>
      <c r="BF111" s="4">
        <f>IF(H110&lt;=0,0,MIN(AV111,AL111))</f>
      </c>
      <c r="BG111" s="4">
        <f>IF(I110&lt;=0,0,MIN(AW111,AM111))</f>
      </c>
      <c r="BH111" s="4">
        <f>IF(J110&lt;=0,0,MIN(AX111,AN111))</f>
      </c>
      <c r="BI111" s="4">
        <f>IF(K110&lt;=0,0,MIN(AY111,AO111))</f>
      </c>
      <c r="BJ111" s="4">
        <f>IF(L110&lt;=0,0,MIN(AZ111,AP111))</f>
      </c>
      <c r="BK111" s="4">
        <f>IF(M110&lt;=0,0,MIN(BA111,AQ111))</f>
      </c>
      <c r="BL111" s="4">
        <f>IF(N110&lt;=0,0,MIN(BB111,AR111))</f>
      </c>
      <c r="BM111" s="4">
        <f>IF(O110&lt;=0,0,MIN(BC111,AS111))</f>
      </c>
      <c r="BN111" s="4">
        <f>IF(P110&lt;=0,0,MIN(BD111,AT111))</f>
      </c>
    </row>
    <row r="112" spans="1:66" x14ac:dyDescent="0.25">
      <c r="A112">
        <v>85</v>
      </c>
      <c r="B112" s="7">
        <f>EDATE($B$17,85)</f>
      </c>
      <c r="C112" s="4">
        <f>SUM(G112:P112)</f>
      </c>
      <c r="D112" s="4">
        <f>SUM(Q112:Z112)</f>
      </c>
      <c r="E112" s="4">
        <f>SUM(AA112:AJ112)+SUM(BE112:BN112)</f>
      </c>
      <c r="G112" s="4">
        <f>MAX(0,AK112-BE112)</f>
      </c>
      <c r="H112" s="4">
        <f>MAX(0,AL112-BF112)</f>
      </c>
      <c r="I112" s="4">
        <f>MAX(0,AM112-BG112)</f>
      </c>
      <c r="J112" s="4">
        <f>MAX(0,AN112-BH112)</f>
      </c>
      <c r="K112" s="4">
        <f>MAX(0,AO112-BI112)</f>
      </c>
      <c r="L112" s="4">
        <f>MAX(0,AP112-BJ112)</f>
      </c>
      <c r="M112" s="4">
        <f>MAX(0,AQ112-BK112)</f>
      </c>
      <c r="N112" s="4">
        <f>MAX(0,AR112-BL112)</f>
      </c>
      <c r="O112" s="4">
        <f>MAX(0,AS112-BM112)</f>
      </c>
      <c r="P112" s="4">
        <f>MAX(0,AT112-BN112)</f>
      </c>
      <c r="Q112" s="4">
        <f>IF(G111&gt;0,G111*($J$5/100/12),0)</f>
      </c>
      <c r="R112" s="4">
        <f>IF(H111&gt;0,H111*($J$6/100/12),0)</f>
      </c>
      <c r="S112" s="4">
        <f>IF(I111&gt;0,I111*($J$7/100/12),0)</f>
      </c>
      <c r="T112" s="4">
        <f>IF(J111&gt;0,J111*($J$8/100/12),0)</f>
      </c>
      <c r="U112" s="4">
        <f>IF(K111&gt;0,K111*($J$9/100/12),0)</f>
      </c>
      <c r="V112" s="4">
        <f>IF(L111&gt;0,L111*($J$10/100/12),0)</f>
      </c>
      <c r="W112" s="4">
        <f>IF(M111&gt;0,M111*($J$11/100/12),0)</f>
      </c>
      <c r="X112" s="4">
        <f>IF(N111&gt;0,N111*($J$12/100/12),0)</f>
      </c>
      <c r="Y112" s="4">
        <f>IF(O111&gt;0,O111*($J$13/100/12),0)</f>
      </c>
      <c r="Z112" s="4">
        <f>IF(P111&gt;0,P111*($J$14/100/12),0)</f>
      </c>
      <c r="AA112" s="4">
        <f>IF(G111&lt;=0,0,MIN($K$5,(G111+Q112)))</f>
      </c>
      <c r="AB112" s="4">
        <f>IF(H111&lt;=0,0,MIN($K$6,(H111+R112)))</f>
      </c>
      <c r="AC112" s="4">
        <f>IF(I111&lt;=0,0,MIN($K$7,(I111+S112)))</f>
      </c>
      <c r="AD112" s="4">
        <f>IF(J111&lt;=0,0,MIN($K$8,(J111+T112)))</f>
      </c>
      <c r="AE112" s="4">
        <f>IF(K111&lt;=0,0,MIN($K$9,(K111+U112)))</f>
      </c>
      <c r="AF112" s="4">
        <f>IF(L111&lt;=0,0,MIN($K$10,(L111+V112)))</f>
      </c>
      <c r="AG112" s="4">
        <f>IF(M111&lt;=0,0,MIN($K$11,(M111+W112)))</f>
      </c>
      <c r="AH112" s="4">
        <f>IF(N111&lt;=0,0,MIN($K$12,(N111+X112)))</f>
      </c>
      <c r="AI112" s="4">
        <f>IF(O111&lt;=0,0,MIN($K$13,(O111+Y112)))</f>
      </c>
      <c r="AJ112" s="4">
        <f>IF(P111&lt;=0,0,MIN($K$14,(P111+Z112)))</f>
      </c>
      <c r="AK112" s="4">
        <f>(G111+Q112)-AA112</f>
      </c>
      <c r="AL112" s="4">
        <f>(H111+R112)-AB112</f>
      </c>
      <c r="AM112" s="4">
        <f>(I111+S112)-AC112</f>
      </c>
      <c r="AN112" s="4">
        <f>(J111+T112)-AD112</f>
      </c>
      <c r="AO112" s="4">
        <f>(K111+U112)-AE112</f>
      </c>
      <c r="AP112" s="4">
        <f>(L111+V112)-AF112</f>
      </c>
      <c r="AQ112" s="4">
        <f>(M111+W112)-AG112</f>
      </c>
      <c r="AR112" s="4">
        <f>(N111+X112)-AH112</f>
      </c>
      <c r="AS112" s="4">
        <f>(O111+Y112)-AI112</f>
      </c>
      <c r="AT112" s="4">
        <f>(P111+Z112)-AJ112</f>
      </c>
      <c r="AU112" s="4">
        <f>$B$16+SUM($K$5:$K$14)-SUM(AA112:AJ112)</f>
      </c>
      <c r="AV112" s="4">
        <f>AU112-BE112</f>
      </c>
      <c r="AW112" s="4">
        <f>AV112-BF112</f>
      </c>
      <c r="AX112" s="4">
        <f>AW112-BG112</f>
      </c>
      <c r="AY112" s="4">
        <f>AX112-BH112</f>
      </c>
      <c r="AZ112" s="4">
        <f>AY112-BI112</f>
      </c>
      <c r="BA112" s="4">
        <f>AZ112-BJ112</f>
      </c>
      <c r="BB112" s="4">
        <f>BA112-BK112</f>
      </c>
      <c r="BC112" s="4">
        <f>BB112-BL112</f>
      </c>
      <c r="BD112" s="4">
        <f>BC112-BM112</f>
      </c>
      <c r="BE112" s="4">
        <f>IF(G111&lt;=0,0,MIN(AU112,AK112))</f>
      </c>
      <c r="BF112" s="4">
        <f>IF(H111&lt;=0,0,MIN(AV112,AL112))</f>
      </c>
      <c r="BG112" s="4">
        <f>IF(I111&lt;=0,0,MIN(AW112,AM112))</f>
      </c>
      <c r="BH112" s="4">
        <f>IF(J111&lt;=0,0,MIN(AX112,AN112))</f>
      </c>
      <c r="BI112" s="4">
        <f>IF(K111&lt;=0,0,MIN(AY112,AO112))</f>
      </c>
      <c r="BJ112" s="4">
        <f>IF(L111&lt;=0,0,MIN(AZ112,AP112))</f>
      </c>
      <c r="BK112" s="4">
        <f>IF(M111&lt;=0,0,MIN(BA112,AQ112))</f>
      </c>
      <c r="BL112" s="4">
        <f>IF(N111&lt;=0,0,MIN(BB112,AR112))</f>
      </c>
      <c r="BM112" s="4">
        <f>IF(O111&lt;=0,0,MIN(BC112,AS112))</f>
      </c>
      <c r="BN112" s="4">
        <f>IF(P111&lt;=0,0,MIN(BD112,AT112))</f>
      </c>
    </row>
    <row r="113" spans="1:66" x14ac:dyDescent="0.25">
      <c r="A113">
        <v>86</v>
      </c>
      <c r="B113" s="7">
        <f>EDATE($B$17,86)</f>
      </c>
      <c r="C113" s="4">
        <f>SUM(G113:P113)</f>
      </c>
      <c r="D113" s="4">
        <f>SUM(Q113:Z113)</f>
      </c>
      <c r="E113" s="4">
        <f>SUM(AA113:AJ113)+SUM(BE113:BN113)</f>
      </c>
      <c r="G113" s="4">
        <f>MAX(0,AK113-BE113)</f>
      </c>
      <c r="H113" s="4">
        <f>MAX(0,AL113-BF113)</f>
      </c>
      <c r="I113" s="4">
        <f>MAX(0,AM113-BG113)</f>
      </c>
      <c r="J113" s="4">
        <f>MAX(0,AN113-BH113)</f>
      </c>
      <c r="K113" s="4">
        <f>MAX(0,AO113-BI113)</f>
      </c>
      <c r="L113" s="4">
        <f>MAX(0,AP113-BJ113)</f>
      </c>
      <c r="M113" s="4">
        <f>MAX(0,AQ113-BK113)</f>
      </c>
      <c r="N113" s="4">
        <f>MAX(0,AR113-BL113)</f>
      </c>
      <c r="O113" s="4">
        <f>MAX(0,AS113-BM113)</f>
      </c>
      <c r="P113" s="4">
        <f>MAX(0,AT113-BN113)</f>
      </c>
      <c r="Q113" s="4">
        <f>IF(G112&gt;0,G112*($J$5/100/12),0)</f>
      </c>
      <c r="R113" s="4">
        <f>IF(H112&gt;0,H112*($J$6/100/12),0)</f>
      </c>
      <c r="S113" s="4">
        <f>IF(I112&gt;0,I112*($J$7/100/12),0)</f>
      </c>
      <c r="T113" s="4">
        <f>IF(J112&gt;0,J112*($J$8/100/12),0)</f>
      </c>
      <c r="U113" s="4">
        <f>IF(K112&gt;0,K112*($J$9/100/12),0)</f>
      </c>
      <c r="V113" s="4">
        <f>IF(L112&gt;0,L112*($J$10/100/12),0)</f>
      </c>
      <c r="W113" s="4">
        <f>IF(M112&gt;0,M112*($J$11/100/12),0)</f>
      </c>
      <c r="X113" s="4">
        <f>IF(N112&gt;0,N112*($J$12/100/12),0)</f>
      </c>
      <c r="Y113" s="4">
        <f>IF(O112&gt;0,O112*($J$13/100/12),0)</f>
      </c>
      <c r="Z113" s="4">
        <f>IF(P112&gt;0,P112*($J$14/100/12),0)</f>
      </c>
      <c r="AA113" s="4">
        <f>IF(G112&lt;=0,0,MIN($K$5,(G112+Q113)))</f>
      </c>
      <c r="AB113" s="4">
        <f>IF(H112&lt;=0,0,MIN($K$6,(H112+R113)))</f>
      </c>
      <c r="AC113" s="4">
        <f>IF(I112&lt;=0,0,MIN($K$7,(I112+S113)))</f>
      </c>
      <c r="AD113" s="4">
        <f>IF(J112&lt;=0,0,MIN($K$8,(J112+T113)))</f>
      </c>
      <c r="AE113" s="4">
        <f>IF(K112&lt;=0,0,MIN($K$9,(K112+U113)))</f>
      </c>
      <c r="AF113" s="4">
        <f>IF(L112&lt;=0,0,MIN($K$10,(L112+V113)))</f>
      </c>
      <c r="AG113" s="4">
        <f>IF(M112&lt;=0,0,MIN($K$11,(M112+W113)))</f>
      </c>
      <c r="AH113" s="4">
        <f>IF(N112&lt;=0,0,MIN($K$12,(N112+X113)))</f>
      </c>
      <c r="AI113" s="4">
        <f>IF(O112&lt;=0,0,MIN($K$13,(O112+Y113)))</f>
      </c>
      <c r="AJ113" s="4">
        <f>IF(P112&lt;=0,0,MIN($K$14,(P112+Z113)))</f>
      </c>
      <c r="AK113" s="4">
        <f>(G112+Q113)-AA113</f>
      </c>
      <c r="AL113" s="4">
        <f>(H112+R113)-AB113</f>
      </c>
      <c r="AM113" s="4">
        <f>(I112+S113)-AC113</f>
      </c>
      <c r="AN113" s="4">
        <f>(J112+T113)-AD113</f>
      </c>
      <c r="AO113" s="4">
        <f>(K112+U113)-AE113</f>
      </c>
      <c r="AP113" s="4">
        <f>(L112+V113)-AF113</f>
      </c>
      <c r="AQ113" s="4">
        <f>(M112+W113)-AG113</f>
      </c>
      <c r="AR113" s="4">
        <f>(N112+X113)-AH113</f>
      </c>
      <c r="AS113" s="4">
        <f>(O112+Y113)-AI113</f>
      </c>
      <c r="AT113" s="4">
        <f>(P112+Z113)-AJ113</f>
      </c>
      <c r="AU113" s="4">
        <f>$B$16+SUM($K$5:$K$14)-SUM(AA113:AJ113)</f>
      </c>
      <c r="AV113" s="4">
        <f>AU113-BE113</f>
      </c>
      <c r="AW113" s="4">
        <f>AV113-BF113</f>
      </c>
      <c r="AX113" s="4">
        <f>AW113-BG113</f>
      </c>
      <c r="AY113" s="4">
        <f>AX113-BH113</f>
      </c>
      <c r="AZ113" s="4">
        <f>AY113-BI113</f>
      </c>
      <c r="BA113" s="4">
        <f>AZ113-BJ113</f>
      </c>
      <c r="BB113" s="4">
        <f>BA113-BK113</f>
      </c>
      <c r="BC113" s="4">
        <f>BB113-BL113</f>
      </c>
      <c r="BD113" s="4">
        <f>BC113-BM113</f>
      </c>
      <c r="BE113" s="4">
        <f>IF(G112&lt;=0,0,MIN(AU113,AK113))</f>
      </c>
      <c r="BF113" s="4">
        <f>IF(H112&lt;=0,0,MIN(AV113,AL113))</f>
      </c>
      <c r="BG113" s="4">
        <f>IF(I112&lt;=0,0,MIN(AW113,AM113))</f>
      </c>
      <c r="BH113" s="4">
        <f>IF(J112&lt;=0,0,MIN(AX113,AN113))</f>
      </c>
      <c r="BI113" s="4">
        <f>IF(K112&lt;=0,0,MIN(AY113,AO113))</f>
      </c>
      <c r="BJ113" s="4">
        <f>IF(L112&lt;=0,0,MIN(AZ113,AP113))</f>
      </c>
      <c r="BK113" s="4">
        <f>IF(M112&lt;=0,0,MIN(BA113,AQ113))</f>
      </c>
      <c r="BL113" s="4">
        <f>IF(N112&lt;=0,0,MIN(BB113,AR113))</f>
      </c>
      <c r="BM113" s="4">
        <f>IF(O112&lt;=0,0,MIN(BC113,AS113))</f>
      </c>
      <c r="BN113" s="4">
        <f>IF(P112&lt;=0,0,MIN(BD113,AT113))</f>
      </c>
    </row>
    <row r="114" spans="1:66" x14ac:dyDescent="0.25">
      <c r="A114">
        <v>87</v>
      </c>
      <c r="B114" s="7">
        <f>EDATE($B$17,87)</f>
      </c>
      <c r="C114" s="4">
        <f>SUM(G114:P114)</f>
      </c>
      <c r="D114" s="4">
        <f>SUM(Q114:Z114)</f>
      </c>
      <c r="E114" s="4">
        <f>SUM(AA114:AJ114)+SUM(BE114:BN114)</f>
      </c>
      <c r="G114" s="4">
        <f>MAX(0,AK114-BE114)</f>
      </c>
      <c r="H114" s="4">
        <f>MAX(0,AL114-BF114)</f>
      </c>
      <c r="I114" s="4">
        <f>MAX(0,AM114-BG114)</f>
      </c>
      <c r="J114" s="4">
        <f>MAX(0,AN114-BH114)</f>
      </c>
      <c r="K114" s="4">
        <f>MAX(0,AO114-BI114)</f>
      </c>
      <c r="L114" s="4">
        <f>MAX(0,AP114-BJ114)</f>
      </c>
      <c r="M114" s="4">
        <f>MAX(0,AQ114-BK114)</f>
      </c>
      <c r="N114" s="4">
        <f>MAX(0,AR114-BL114)</f>
      </c>
      <c r="O114" s="4">
        <f>MAX(0,AS114-BM114)</f>
      </c>
      <c r="P114" s="4">
        <f>MAX(0,AT114-BN114)</f>
      </c>
      <c r="Q114" s="4">
        <f>IF(G113&gt;0,G113*($J$5/100/12),0)</f>
      </c>
      <c r="R114" s="4">
        <f>IF(H113&gt;0,H113*($J$6/100/12),0)</f>
      </c>
      <c r="S114" s="4">
        <f>IF(I113&gt;0,I113*($J$7/100/12),0)</f>
      </c>
      <c r="T114" s="4">
        <f>IF(J113&gt;0,J113*($J$8/100/12),0)</f>
      </c>
      <c r="U114" s="4">
        <f>IF(K113&gt;0,K113*($J$9/100/12),0)</f>
      </c>
      <c r="V114" s="4">
        <f>IF(L113&gt;0,L113*($J$10/100/12),0)</f>
      </c>
      <c r="W114" s="4">
        <f>IF(M113&gt;0,M113*($J$11/100/12),0)</f>
      </c>
      <c r="X114" s="4">
        <f>IF(N113&gt;0,N113*($J$12/100/12),0)</f>
      </c>
      <c r="Y114" s="4">
        <f>IF(O113&gt;0,O113*($J$13/100/12),0)</f>
      </c>
      <c r="Z114" s="4">
        <f>IF(P113&gt;0,P113*($J$14/100/12),0)</f>
      </c>
      <c r="AA114" s="4">
        <f>IF(G113&lt;=0,0,MIN($K$5,(G113+Q114)))</f>
      </c>
      <c r="AB114" s="4">
        <f>IF(H113&lt;=0,0,MIN($K$6,(H113+R114)))</f>
      </c>
      <c r="AC114" s="4">
        <f>IF(I113&lt;=0,0,MIN($K$7,(I113+S114)))</f>
      </c>
      <c r="AD114" s="4">
        <f>IF(J113&lt;=0,0,MIN($K$8,(J113+T114)))</f>
      </c>
      <c r="AE114" s="4">
        <f>IF(K113&lt;=0,0,MIN($K$9,(K113+U114)))</f>
      </c>
      <c r="AF114" s="4">
        <f>IF(L113&lt;=0,0,MIN($K$10,(L113+V114)))</f>
      </c>
      <c r="AG114" s="4">
        <f>IF(M113&lt;=0,0,MIN($K$11,(M113+W114)))</f>
      </c>
      <c r="AH114" s="4">
        <f>IF(N113&lt;=0,0,MIN($K$12,(N113+X114)))</f>
      </c>
      <c r="AI114" s="4">
        <f>IF(O113&lt;=0,0,MIN($K$13,(O113+Y114)))</f>
      </c>
      <c r="AJ114" s="4">
        <f>IF(P113&lt;=0,0,MIN($K$14,(P113+Z114)))</f>
      </c>
      <c r="AK114" s="4">
        <f>(G113+Q114)-AA114</f>
      </c>
      <c r="AL114" s="4">
        <f>(H113+R114)-AB114</f>
      </c>
      <c r="AM114" s="4">
        <f>(I113+S114)-AC114</f>
      </c>
      <c r="AN114" s="4">
        <f>(J113+T114)-AD114</f>
      </c>
      <c r="AO114" s="4">
        <f>(K113+U114)-AE114</f>
      </c>
      <c r="AP114" s="4">
        <f>(L113+V114)-AF114</f>
      </c>
      <c r="AQ114" s="4">
        <f>(M113+W114)-AG114</f>
      </c>
      <c r="AR114" s="4">
        <f>(N113+X114)-AH114</f>
      </c>
      <c r="AS114" s="4">
        <f>(O113+Y114)-AI114</f>
      </c>
      <c r="AT114" s="4">
        <f>(P113+Z114)-AJ114</f>
      </c>
      <c r="AU114" s="4">
        <f>$B$16+SUM($K$5:$K$14)-SUM(AA114:AJ114)</f>
      </c>
      <c r="AV114" s="4">
        <f>AU114-BE114</f>
      </c>
      <c r="AW114" s="4">
        <f>AV114-BF114</f>
      </c>
      <c r="AX114" s="4">
        <f>AW114-BG114</f>
      </c>
      <c r="AY114" s="4">
        <f>AX114-BH114</f>
      </c>
      <c r="AZ114" s="4">
        <f>AY114-BI114</f>
      </c>
      <c r="BA114" s="4">
        <f>AZ114-BJ114</f>
      </c>
      <c r="BB114" s="4">
        <f>BA114-BK114</f>
      </c>
      <c r="BC114" s="4">
        <f>BB114-BL114</f>
      </c>
      <c r="BD114" s="4">
        <f>BC114-BM114</f>
      </c>
      <c r="BE114" s="4">
        <f>IF(G113&lt;=0,0,MIN(AU114,AK114))</f>
      </c>
      <c r="BF114" s="4">
        <f>IF(H113&lt;=0,0,MIN(AV114,AL114))</f>
      </c>
      <c r="BG114" s="4">
        <f>IF(I113&lt;=0,0,MIN(AW114,AM114))</f>
      </c>
      <c r="BH114" s="4">
        <f>IF(J113&lt;=0,0,MIN(AX114,AN114))</f>
      </c>
      <c r="BI114" s="4">
        <f>IF(K113&lt;=0,0,MIN(AY114,AO114))</f>
      </c>
      <c r="BJ114" s="4">
        <f>IF(L113&lt;=0,0,MIN(AZ114,AP114))</f>
      </c>
      <c r="BK114" s="4">
        <f>IF(M113&lt;=0,0,MIN(BA114,AQ114))</f>
      </c>
      <c r="BL114" s="4">
        <f>IF(N113&lt;=0,0,MIN(BB114,AR114))</f>
      </c>
      <c r="BM114" s="4">
        <f>IF(O113&lt;=0,0,MIN(BC114,AS114))</f>
      </c>
      <c r="BN114" s="4">
        <f>IF(P113&lt;=0,0,MIN(BD114,AT114))</f>
      </c>
    </row>
    <row r="115" spans="1:66" x14ac:dyDescent="0.25">
      <c r="A115">
        <v>88</v>
      </c>
      <c r="B115" s="7">
        <f>EDATE($B$17,88)</f>
      </c>
      <c r="C115" s="4">
        <f>SUM(G115:P115)</f>
      </c>
      <c r="D115" s="4">
        <f>SUM(Q115:Z115)</f>
      </c>
      <c r="E115" s="4">
        <f>SUM(AA115:AJ115)+SUM(BE115:BN115)</f>
      </c>
      <c r="G115" s="4">
        <f>MAX(0,AK115-BE115)</f>
      </c>
      <c r="H115" s="4">
        <f>MAX(0,AL115-BF115)</f>
      </c>
      <c r="I115" s="4">
        <f>MAX(0,AM115-BG115)</f>
      </c>
      <c r="J115" s="4">
        <f>MAX(0,AN115-BH115)</f>
      </c>
      <c r="K115" s="4">
        <f>MAX(0,AO115-BI115)</f>
      </c>
      <c r="L115" s="4">
        <f>MAX(0,AP115-BJ115)</f>
      </c>
      <c r="M115" s="4">
        <f>MAX(0,AQ115-BK115)</f>
      </c>
      <c r="N115" s="4">
        <f>MAX(0,AR115-BL115)</f>
      </c>
      <c r="O115" s="4">
        <f>MAX(0,AS115-BM115)</f>
      </c>
      <c r="P115" s="4">
        <f>MAX(0,AT115-BN115)</f>
      </c>
      <c r="Q115" s="4">
        <f>IF(G114&gt;0,G114*($J$5/100/12),0)</f>
      </c>
      <c r="R115" s="4">
        <f>IF(H114&gt;0,H114*($J$6/100/12),0)</f>
      </c>
      <c r="S115" s="4">
        <f>IF(I114&gt;0,I114*($J$7/100/12),0)</f>
      </c>
      <c r="T115" s="4">
        <f>IF(J114&gt;0,J114*($J$8/100/12),0)</f>
      </c>
      <c r="U115" s="4">
        <f>IF(K114&gt;0,K114*($J$9/100/12),0)</f>
      </c>
      <c r="V115" s="4">
        <f>IF(L114&gt;0,L114*($J$10/100/12),0)</f>
      </c>
      <c r="W115" s="4">
        <f>IF(M114&gt;0,M114*($J$11/100/12),0)</f>
      </c>
      <c r="X115" s="4">
        <f>IF(N114&gt;0,N114*($J$12/100/12),0)</f>
      </c>
      <c r="Y115" s="4">
        <f>IF(O114&gt;0,O114*($J$13/100/12),0)</f>
      </c>
      <c r="Z115" s="4">
        <f>IF(P114&gt;0,P114*($J$14/100/12),0)</f>
      </c>
      <c r="AA115" s="4">
        <f>IF(G114&lt;=0,0,MIN($K$5,(G114+Q115)))</f>
      </c>
      <c r="AB115" s="4">
        <f>IF(H114&lt;=0,0,MIN($K$6,(H114+R115)))</f>
      </c>
      <c r="AC115" s="4">
        <f>IF(I114&lt;=0,0,MIN($K$7,(I114+S115)))</f>
      </c>
      <c r="AD115" s="4">
        <f>IF(J114&lt;=0,0,MIN($K$8,(J114+T115)))</f>
      </c>
      <c r="AE115" s="4">
        <f>IF(K114&lt;=0,0,MIN($K$9,(K114+U115)))</f>
      </c>
      <c r="AF115" s="4">
        <f>IF(L114&lt;=0,0,MIN($K$10,(L114+V115)))</f>
      </c>
      <c r="AG115" s="4">
        <f>IF(M114&lt;=0,0,MIN($K$11,(M114+W115)))</f>
      </c>
      <c r="AH115" s="4">
        <f>IF(N114&lt;=0,0,MIN($K$12,(N114+X115)))</f>
      </c>
      <c r="AI115" s="4">
        <f>IF(O114&lt;=0,0,MIN($K$13,(O114+Y115)))</f>
      </c>
      <c r="AJ115" s="4">
        <f>IF(P114&lt;=0,0,MIN($K$14,(P114+Z115)))</f>
      </c>
      <c r="AK115" s="4">
        <f>(G114+Q115)-AA115</f>
      </c>
      <c r="AL115" s="4">
        <f>(H114+R115)-AB115</f>
      </c>
      <c r="AM115" s="4">
        <f>(I114+S115)-AC115</f>
      </c>
      <c r="AN115" s="4">
        <f>(J114+T115)-AD115</f>
      </c>
      <c r="AO115" s="4">
        <f>(K114+U115)-AE115</f>
      </c>
      <c r="AP115" s="4">
        <f>(L114+V115)-AF115</f>
      </c>
      <c r="AQ115" s="4">
        <f>(M114+W115)-AG115</f>
      </c>
      <c r="AR115" s="4">
        <f>(N114+X115)-AH115</f>
      </c>
      <c r="AS115" s="4">
        <f>(O114+Y115)-AI115</f>
      </c>
      <c r="AT115" s="4">
        <f>(P114+Z115)-AJ115</f>
      </c>
      <c r="AU115" s="4">
        <f>$B$16+SUM($K$5:$K$14)-SUM(AA115:AJ115)</f>
      </c>
      <c r="AV115" s="4">
        <f>AU115-BE115</f>
      </c>
      <c r="AW115" s="4">
        <f>AV115-BF115</f>
      </c>
      <c r="AX115" s="4">
        <f>AW115-BG115</f>
      </c>
      <c r="AY115" s="4">
        <f>AX115-BH115</f>
      </c>
      <c r="AZ115" s="4">
        <f>AY115-BI115</f>
      </c>
      <c r="BA115" s="4">
        <f>AZ115-BJ115</f>
      </c>
      <c r="BB115" s="4">
        <f>BA115-BK115</f>
      </c>
      <c r="BC115" s="4">
        <f>BB115-BL115</f>
      </c>
      <c r="BD115" s="4">
        <f>BC115-BM115</f>
      </c>
      <c r="BE115" s="4">
        <f>IF(G114&lt;=0,0,MIN(AU115,AK115))</f>
      </c>
      <c r="BF115" s="4">
        <f>IF(H114&lt;=0,0,MIN(AV115,AL115))</f>
      </c>
      <c r="BG115" s="4">
        <f>IF(I114&lt;=0,0,MIN(AW115,AM115))</f>
      </c>
      <c r="BH115" s="4">
        <f>IF(J114&lt;=0,0,MIN(AX115,AN115))</f>
      </c>
      <c r="BI115" s="4">
        <f>IF(K114&lt;=0,0,MIN(AY115,AO115))</f>
      </c>
      <c r="BJ115" s="4">
        <f>IF(L114&lt;=0,0,MIN(AZ115,AP115))</f>
      </c>
      <c r="BK115" s="4">
        <f>IF(M114&lt;=0,0,MIN(BA115,AQ115))</f>
      </c>
      <c r="BL115" s="4">
        <f>IF(N114&lt;=0,0,MIN(BB115,AR115))</f>
      </c>
      <c r="BM115" s="4">
        <f>IF(O114&lt;=0,0,MIN(BC115,AS115))</f>
      </c>
      <c r="BN115" s="4">
        <f>IF(P114&lt;=0,0,MIN(BD115,AT115))</f>
      </c>
    </row>
    <row r="116" spans="1:66" x14ac:dyDescent="0.25">
      <c r="A116">
        <v>89</v>
      </c>
      <c r="B116" s="7">
        <f>EDATE($B$17,89)</f>
      </c>
      <c r="C116" s="4">
        <f>SUM(G116:P116)</f>
      </c>
      <c r="D116" s="4">
        <f>SUM(Q116:Z116)</f>
      </c>
      <c r="E116" s="4">
        <f>SUM(AA116:AJ116)+SUM(BE116:BN116)</f>
      </c>
      <c r="G116" s="4">
        <f>MAX(0,AK116-BE116)</f>
      </c>
      <c r="H116" s="4">
        <f>MAX(0,AL116-BF116)</f>
      </c>
      <c r="I116" s="4">
        <f>MAX(0,AM116-BG116)</f>
      </c>
      <c r="J116" s="4">
        <f>MAX(0,AN116-BH116)</f>
      </c>
      <c r="K116" s="4">
        <f>MAX(0,AO116-BI116)</f>
      </c>
      <c r="L116" s="4">
        <f>MAX(0,AP116-BJ116)</f>
      </c>
      <c r="M116" s="4">
        <f>MAX(0,AQ116-BK116)</f>
      </c>
      <c r="N116" s="4">
        <f>MAX(0,AR116-BL116)</f>
      </c>
      <c r="O116" s="4">
        <f>MAX(0,AS116-BM116)</f>
      </c>
      <c r="P116" s="4">
        <f>MAX(0,AT116-BN116)</f>
      </c>
      <c r="Q116" s="4">
        <f>IF(G115&gt;0,G115*($J$5/100/12),0)</f>
      </c>
      <c r="R116" s="4">
        <f>IF(H115&gt;0,H115*($J$6/100/12),0)</f>
      </c>
      <c r="S116" s="4">
        <f>IF(I115&gt;0,I115*($J$7/100/12),0)</f>
      </c>
      <c r="T116" s="4">
        <f>IF(J115&gt;0,J115*($J$8/100/12),0)</f>
      </c>
      <c r="U116" s="4">
        <f>IF(K115&gt;0,K115*($J$9/100/12),0)</f>
      </c>
      <c r="V116" s="4">
        <f>IF(L115&gt;0,L115*($J$10/100/12),0)</f>
      </c>
      <c r="W116" s="4">
        <f>IF(M115&gt;0,M115*($J$11/100/12),0)</f>
      </c>
      <c r="X116" s="4">
        <f>IF(N115&gt;0,N115*($J$12/100/12),0)</f>
      </c>
      <c r="Y116" s="4">
        <f>IF(O115&gt;0,O115*($J$13/100/12),0)</f>
      </c>
      <c r="Z116" s="4">
        <f>IF(P115&gt;0,P115*($J$14/100/12),0)</f>
      </c>
      <c r="AA116" s="4">
        <f>IF(G115&lt;=0,0,MIN($K$5,(G115+Q116)))</f>
      </c>
      <c r="AB116" s="4">
        <f>IF(H115&lt;=0,0,MIN($K$6,(H115+R116)))</f>
      </c>
      <c r="AC116" s="4">
        <f>IF(I115&lt;=0,0,MIN($K$7,(I115+S116)))</f>
      </c>
      <c r="AD116" s="4">
        <f>IF(J115&lt;=0,0,MIN($K$8,(J115+T116)))</f>
      </c>
      <c r="AE116" s="4">
        <f>IF(K115&lt;=0,0,MIN($K$9,(K115+U116)))</f>
      </c>
      <c r="AF116" s="4">
        <f>IF(L115&lt;=0,0,MIN($K$10,(L115+V116)))</f>
      </c>
      <c r="AG116" s="4">
        <f>IF(M115&lt;=0,0,MIN($K$11,(M115+W116)))</f>
      </c>
      <c r="AH116" s="4">
        <f>IF(N115&lt;=0,0,MIN($K$12,(N115+X116)))</f>
      </c>
      <c r="AI116" s="4">
        <f>IF(O115&lt;=0,0,MIN($K$13,(O115+Y116)))</f>
      </c>
      <c r="AJ116" s="4">
        <f>IF(P115&lt;=0,0,MIN($K$14,(P115+Z116)))</f>
      </c>
      <c r="AK116" s="4">
        <f>(G115+Q116)-AA116</f>
      </c>
      <c r="AL116" s="4">
        <f>(H115+R116)-AB116</f>
      </c>
      <c r="AM116" s="4">
        <f>(I115+S116)-AC116</f>
      </c>
      <c r="AN116" s="4">
        <f>(J115+T116)-AD116</f>
      </c>
      <c r="AO116" s="4">
        <f>(K115+U116)-AE116</f>
      </c>
      <c r="AP116" s="4">
        <f>(L115+V116)-AF116</f>
      </c>
      <c r="AQ116" s="4">
        <f>(M115+W116)-AG116</f>
      </c>
      <c r="AR116" s="4">
        <f>(N115+X116)-AH116</f>
      </c>
      <c r="AS116" s="4">
        <f>(O115+Y116)-AI116</f>
      </c>
      <c r="AT116" s="4">
        <f>(P115+Z116)-AJ116</f>
      </c>
      <c r="AU116" s="4">
        <f>$B$16+SUM($K$5:$K$14)-SUM(AA116:AJ116)</f>
      </c>
      <c r="AV116" s="4">
        <f>AU116-BE116</f>
      </c>
      <c r="AW116" s="4">
        <f>AV116-BF116</f>
      </c>
      <c r="AX116" s="4">
        <f>AW116-BG116</f>
      </c>
      <c r="AY116" s="4">
        <f>AX116-BH116</f>
      </c>
      <c r="AZ116" s="4">
        <f>AY116-BI116</f>
      </c>
      <c r="BA116" s="4">
        <f>AZ116-BJ116</f>
      </c>
      <c r="BB116" s="4">
        <f>BA116-BK116</f>
      </c>
      <c r="BC116" s="4">
        <f>BB116-BL116</f>
      </c>
      <c r="BD116" s="4">
        <f>BC116-BM116</f>
      </c>
      <c r="BE116" s="4">
        <f>IF(G115&lt;=0,0,MIN(AU116,AK116))</f>
      </c>
      <c r="BF116" s="4">
        <f>IF(H115&lt;=0,0,MIN(AV116,AL116))</f>
      </c>
      <c r="BG116" s="4">
        <f>IF(I115&lt;=0,0,MIN(AW116,AM116))</f>
      </c>
      <c r="BH116" s="4">
        <f>IF(J115&lt;=0,0,MIN(AX116,AN116))</f>
      </c>
      <c r="BI116" s="4">
        <f>IF(K115&lt;=0,0,MIN(AY116,AO116))</f>
      </c>
      <c r="BJ116" s="4">
        <f>IF(L115&lt;=0,0,MIN(AZ116,AP116))</f>
      </c>
      <c r="BK116" s="4">
        <f>IF(M115&lt;=0,0,MIN(BA116,AQ116))</f>
      </c>
      <c r="BL116" s="4">
        <f>IF(N115&lt;=0,0,MIN(BB116,AR116))</f>
      </c>
      <c r="BM116" s="4">
        <f>IF(O115&lt;=0,0,MIN(BC116,AS116))</f>
      </c>
      <c r="BN116" s="4">
        <f>IF(P115&lt;=0,0,MIN(BD116,AT116))</f>
      </c>
    </row>
    <row r="117" spans="1:66" x14ac:dyDescent="0.25">
      <c r="A117">
        <v>90</v>
      </c>
      <c r="B117" s="7">
        <f>EDATE($B$17,90)</f>
      </c>
      <c r="C117" s="4">
        <f>SUM(G117:P117)</f>
      </c>
      <c r="D117" s="4">
        <f>SUM(Q117:Z117)</f>
      </c>
      <c r="E117" s="4">
        <f>SUM(AA117:AJ117)+SUM(BE117:BN117)</f>
      </c>
      <c r="G117" s="4">
        <f>MAX(0,AK117-BE117)</f>
      </c>
      <c r="H117" s="4">
        <f>MAX(0,AL117-BF117)</f>
      </c>
      <c r="I117" s="4">
        <f>MAX(0,AM117-BG117)</f>
      </c>
      <c r="J117" s="4">
        <f>MAX(0,AN117-BH117)</f>
      </c>
      <c r="K117" s="4">
        <f>MAX(0,AO117-BI117)</f>
      </c>
      <c r="L117" s="4">
        <f>MAX(0,AP117-BJ117)</f>
      </c>
      <c r="M117" s="4">
        <f>MAX(0,AQ117-BK117)</f>
      </c>
      <c r="N117" s="4">
        <f>MAX(0,AR117-BL117)</f>
      </c>
      <c r="O117" s="4">
        <f>MAX(0,AS117-BM117)</f>
      </c>
      <c r="P117" s="4">
        <f>MAX(0,AT117-BN117)</f>
      </c>
      <c r="Q117" s="4">
        <f>IF(G116&gt;0,G116*($J$5/100/12),0)</f>
      </c>
      <c r="R117" s="4">
        <f>IF(H116&gt;0,H116*($J$6/100/12),0)</f>
      </c>
      <c r="S117" s="4">
        <f>IF(I116&gt;0,I116*($J$7/100/12),0)</f>
      </c>
      <c r="T117" s="4">
        <f>IF(J116&gt;0,J116*($J$8/100/12),0)</f>
      </c>
      <c r="U117" s="4">
        <f>IF(K116&gt;0,K116*($J$9/100/12),0)</f>
      </c>
      <c r="V117" s="4">
        <f>IF(L116&gt;0,L116*($J$10/100/12),0)</f>
      </c>
      <c r="W117" s="4">
        <f>IF(M116&gt;0,M116*($J$11/100/12),0)</f>
      </c>
      <c r="X117" s="4">
        <f>IF(N116&gt;0,N116*($J$12/100/12),0)</f>
      </c>
      <c r="Y117" s="4">
        <f>IF(O116&gt;0,O116*($J$13/100/12),0)</f>
      </c>
      <c r="Z117" s="4">
        <f>IF(P116&gt;0,P116*($J$14/100/12),0)</f>
      </c>
      <c r="AA117" s="4">
        <f>IF(G116&lt;=0,0,MIN($K$5,(G116+Q117)))</f>
      </c>
      <c r="AB117" s="4">
        <f>IF(H116&lt;=0,0,MIN($K$6,(H116+R117)))</f>
      </c>
      <c r="AC117" s="4">
        <f>IF(I116&lt;=0,0,MIN($K$7,(I116+S117)))</f>
      </c>
      <c r="AD117" s="4">
        <f>IF(J116&lt;=0,0,MIN($K$8,(J116+T117)))</f>
      </c>
      <c r="AE117" s="4">
        <f>IF(K116&lt;=0,0,MIN($K$9,(K116+U117)))</f>
      </c>
      <c r="AF117" s="4">
        <f>IF(L116&lt;=0,0,MIN($K$10,(L116+V117)))</f>
      </c>
      <c r="AG117" s="4">
        <f>IF(M116&lt;=0,0,MIN($K$11,(M116+W117)))</f>
      </c>
      <c r="AH117" s="4">
        <f>IF(N116&lt;=0,0,MIN($K$12,(N116+X117)))</f>
      </c>
      <c r="AI117" s="4">
        <f>IF(O116&lt;=0,0,MIN($K$13,(O116+Y117)))</f>
      </c>
      <c r="AJ117" s="4">
        <f>IF(P116&lt;=0,0,MIN($K$14,(P116+Z117)))</f>
      </c>
      <c r="AK117" s="4">
        <f>(G116+Q117)-AA117</f>
      </c>
      <c r="AL117" s="4">
        <f>(H116+R117)-AB117</f>
      </c>
      <c r="AM117" s="4">
        <f>(I116+S117)-AC117</f>
      </c>
      <c r="AN117" s="4">
        <f>(J116+T117)-AD117</f>
      </c>
      <c r="AO117" s="4">
        <f>(K116+U117)-AE117</f>
      </c>
      <c r="AP117" s="4">
        <f>(L116+V117)-AF117</f>
      </c>
      <c r="AQ117" s="4">
        <f>(M116+W117)-AG117</f>
      </c>
      <c r="AR117" s="4">
        <f>(N116+X117)-AH117</f>
      </c>
      <c r="AS117" s="4">
        <f>(O116+Y117)-AI117</f>
      </c>
      <c r="AT117" s="4">
        <f>(P116+Z117)-AJ117</f>
      </c>
      <c r="AU117" s="4">
        <f>$B$16+SUM($K$5:$K$14)-SUM(AA117:AJ117)</f>
      </c>
      <c r="AV117" s="4">
        <f>AU117-BE117</f>
      </c>
      <c r="AW117" s="4">
        <f>AV117-BF117</f>
      </c>
      <c r="AX117" s="4">
        <f>AW117-BG117</f>
      </c>
      <c r="AY117" s="4">
        <f>AX117-BH117</f>
      </c>
      <c r="AZ117" s="4">
        <f>AY117-BI117</f>
      </c>
      <c r="BA117" s="4">
        <f>AZ117-BJ117</f>
      </c>
      <c r="BB117" s="4">
        <f>BA117-BK117</f>
      </c>
      <c r="BC117" s="4">
        <f>BB117-BL117</f>
      </c>
      <c r="BD117" s="4">
        <f>BC117-BM117</f>
      </c>
      <c r="BE117" s="4">
        <f>IF(G116&lt;=0,0,MIN(AU117,AK117))</f>
      </c>
      <c r="BF117" s="4">
        <f>IF(H116&lt;=0,0,MIN(AV117,AL117))</f>
      </c>
      <c r="BG117" s="4">
        <f>IF(I116&lt;=0,0,MIN(AW117,AM117))</f>
      </c>
      <c r="BH117" s="4">
        <f>IF(J116&lt;=0,0,MIN(AX117,AN117))</f>
      </c>
      <c r="BI117" s="4">
        <f>IF(K116&lt;=0,0,MIN(AY117,AO117))</f>
      </c>
      <c r="BJ117" s="4">
        <f>IF(L116&lt;=0,0,MIN(AZ117,AP117))</f>
      </c>
      <c r="BK117" s="4">
        <f>IF(M116&lt;=0,0,MIN(BA117,AQ117))</f>
      </c>
      <c r="BL117" s="4">
        <f>IF(N116&lt;=0,0,MIN(BB117,AR117))</f>
      </c>
      <c r="BM117" s="4">
        <f>IF(O116&lt;=0,0,MIN(BC117,AS117))</f>
      </c>
      <c r="BN117" s="4">
        <f>IF(P116&lt;=0,0,MIN(BD117,AT117))</f>
      </c>
    </row>
    <row r="118" spans="1:66" x14ac:dyDescent="0.25">
      <c r="A118">
        <v>91</v>
      </c>
      <c r="B118" s="7">
        <f>EDATE($B$17,91)</f>
      </c>
      <c r="C118" s="4">
        <f>SUM(G118:P118)</f>
      </c>
      <c r="D118" s="4">
        <f>SUM(Q118:Z118)</f>
      </c>
      <c r="E118" s="4">
        <f>SUM(AA118:AJ118)+SUM(BE118:BN118)</f>
      </c>
      <c r="G118" s="4">
        <f>MAX(0,AK118-BE118)</f>
      </c>
      <c r="H118" s="4">
        <f>MAX(0,AL118-BF118)</f>
      </c>
      <c r="I118" s="4">
        <f>MAX(0,AM118-BG118)</f>
      </c>
      <c r="J118" s="4">
        <f>MAX(0,AN118-BH118)</f>
      </c>
      <c r="K118" s="4">
        <f>MAX(0,AO118-BI118)</f>
      </c>
      <c r="L118" s="4">
        <f>MAX(0,AP118-BJ118)</f>
      </c>
      <c r="M118" s="4">
        <f>MAX(0,AQ118-BK118)</f>
      </c>
      <c r="N118" s="4">
        <f>MAX(0,AR118-BL118)</f>
      </c>
      <c r="O118" s="4">
        <f>MAX(0,AS118-BM118)</f>
      </c>
      <c r="P118" s="4">
        <f>MAX(0,AT118-BN118)</f>
      </c>
      <c r="Q118" s="4">
        <f>IF(G117&gt;0,G117*($J$5/100/12),0)</f>
      </c>
      <c r="R118" s="4">
        <f>IF(H117&gt;0,H117*($J$6/100/12),0)</f>
      </c>
      <c r="S118" s="4">
        <f>IF(I117&gt;0,I117*($J$7/100/12),0)</f>
      </c>
      <c r="T118" s="4">
        <f>IF(J117&gt;0,J117*($J$8/100/12),0)</f>
      </c>
      <c r="U118" s="4">
        <f>IF(K117&gt;0,K117*($J$9/100/12),0)</f>
      </c>
      <c r="V118" s="4">
        <f>IF(L117&gt;0,L117*($J$10/100/12),0)</f>
      </c>
      <c r="W118" s="4">
        <f>IF(M117&gt;0,M117*($J$11/100/12),0)</f>
      </c>
      <c r="X118" s="4">
        <f>IF(N117&gt;0,N117*($J$12/100/12),0)</f>
      </c>
      <c r="Y118" s="4">
        <f>IF(O117&gt;0,O117*($J$13/100/12),0)</f>
      </c>
      <c r="Z118" s="4">
        <f>IF(P117&gt;0,P117*($J$14/100/12),0)</f>
      </c>
      <c r="AA118" s="4">
        <f>IF(G117&lt;=0,0,MIN($K$5,(G117+Q118)))</f>
      </c>
      <c r="AB118" s="4">
        <f>IF(H117&lt;=0,0,MIN($K$6,(H117+R118)))</f>
      </c>
      <c r="AC118" s="4">
        <f>IF(I117&lt;=0,0,MIN($K$7,(I117+S118)))</f>
      </c>
      <c r="AD118" s="4">
        <f>IF(J117&lt;=0,0,MIN($K$8,(J117+T118)))</f>
      </c>
      <c r="AE118" s="4">
        <f>IF(K117&lt;=0,0,MIN($K$9,(K117+U118)))</f>
      </c>
      <c r="AF118" s="4">
        <f>IF(L117&lt;=0,0,MIN($K$10,(L117+V118)))</f>
      </c>
      <c r="AG118" s="4">
        <f>IF(M117&lt;=0,0,MIN($K$11,(M117+W118)))</f>
      </c>
      <c r="AH118" s="4">
        <f>IF(N117&lt;=0,0,MIN($K$12,(N117+X118)))</f>
      </c>
      <c r="AI118" s="4">
        <f>IF(O117&lt;=0,0,MIN($K$13,(O117+Y118)))</f>
      </c>
      <c r="AJ118" s="4">
        <f>IF(P117&lt;=0,0,MIN($K$14,(P117+Z118)))</f>
      </c>
      <c r="AK118" s="4">
        <f>(G117+Q118)-AA118</f>
      </c>
      <c r="AL118" s="4">
        <f>(H117+R118)-AB118</f>
      </c>
      <c r="AM118" s="4">
        <f>(I117+S118)-AC118</f>
      </c>
      <c r="AN118" s="4">
        <f>(J117+T118)-AD118</f>
      </c>
      <c r="AO118" s="4">
        <f>(K117+U118)-AE118</f>
      </c>
      <c r="AP118" s="4">
        <f>(L117+V118)-AF118</f>
      </c>
      <c r="AQ118" s="4">
        <f>(M117+W118)-AG118</f>
      </c>
      <c r="AR118" s="4">
        <f>(N117+X118)-AH118</f>
      </c>
      <c r="AS118" s="4">
        <f>(O117+Y118)-AI118</f>
      </c>
      <c r="AT118" s="4">
        <f>(P117+Z118)-AJ118</f>
      </c>
      <c r="AU118" s="4">
        <f>$B$16+SUM($K$5:$K$14)-SUM(AA118:AJ118)</f>
      </c>
      <c r="AV118" s="4">
        <f>AU118-BE118</f>
      </c>
      <c r="AW118" s="4">
        <f>AV118-BF118</f>
      </c>
      <c r="AX118" s="4">
        <f>AW118-BG118</f>
      </c>
      <c r="AY118" s="4">
        <f>AX118-BH118</f>
      </c>
      <c r="AZ118" s="4">
        <f>AY118-BI118</f>
      </c>
      <c r="BA118" s="4">
        <f>AZ118-BJ118</f>
      </c>
      <c r="BB118" s="4">
        <f>BA118-BK118</f>
      </c>
      <c r="BC118" s="4">
        <f>BB118-BL118</f>
      </c>
      <c r="BD118" s="4">
        <f>BC118-BM118</f>
      </c>
      <c r="BE118" s="4">
        <f>IF(G117&lt;=0,0,MIN(AU118,AK118))</f>
      </c>
      <c r="BF118" s="4">
        <f>IF(H117&lt;=0,0,MIN(AV118,AL118))</f>
      </c>
      <c r="BG118" s="4">
        <f>IF(I117&lt;=0,0,MIN(AW118,AM118))</f>
      </c>
      <c r="BH118" s="4">
        <f>IF(J117&lt;=0,0,MIN(AX118,AN118))</f>
      </c>
      <c r="BI118" s="4">
        <f>IF(K117&lt;=0,0,MIN(AY118,AO118))</f>
      </c>
      <c r="BJ118" s="4">
        <f>IF(L117&lt;=0,0,MIN(AZ118,AP118))</f>
      </c>
      <c r="BK118" s="4">
        <f>IF(M117&lt;=0,0,MIN(BA118,AQ118))</f>
      </c>
      <c r="BL118" s="4">
        <f>IF(N117&lt;=0,0,MIN(BB118,AR118))</f>
      </c>
      <c r="BM118" s="4">
        <f>IF(O117&lt;=0,0,MIN(BC118,AS118))</f>
      </c>
      <c r="BN118" s="4">
        <f>IF(P117&lt;=0,0,MIN(BD118,AT118))</f>
      </c>
    </row>
    <row r="119" spans="1:66" x14ac:dyDescent="0.25">
      <c r="A119">
        <v>92</v>
      </c>
      <c r="B119" s="7">
        <f>EDATE($B$17,92)</f>
      </c>
      <c r="C119" s="4">
        <f>SUM(G119:P119)</f>
      </c>
      <c r="D119" s="4">
        <f>SUM(Q119:Z119)</f>
      </c>
      <c r="E119" s="4">
        <f>SUM(AA119:AJ119)+SUM(BE119:BN119)</f>
      </c>
      <c r="G119" s="4">
        <f>MAX(0,AK119-BE119)</f>
      </c>
      <c r="H119" s="4">
        <f>MAX(0,AL119-BF119)</f>
      </c>
      <c r="I119" s="4">
        <f>MAX(0,AM119-BG119)</f>
      </c>
      <c r="J119" s="4">
        <f>MAX(0,AN119-BH119)</f>
      </c>
      <c r="K119" s="4">
        <f>MAX(0,AO119-BI119)</f>
      </c>
      <c r="L119" s="4">
        <f>MAX(0,AP119-BJ119)</f>
      </c>
      <c r="M119" s="4">
        <f>MAX(0,AQ119-BK119)</f>
      </c>
      <c r="N119" s="4">
        <f>MAX(0,AR119-BL119)</f>
      </c>
      <c r="O119" s="4">
        <f>MAX(0,AS119-BM119)</f>
      </c>
      <c r="P119" s="4">
        <f>MAX(0,AT119-BN119)</f>
      </c>
      <c r="Q119" s="4">
        <f>IF(G118&gt;0,G118*($J$5/100/12),0)</f>
      </c>
      <c r="R119" s="4">
        <f>IF(H118&gt;0,H118*($J$6/100/12),0)</f>
      </c>
      <c r="S119" s="4">
        <f>IF(I118&gt;0,I118*($J$7/100/12),0)</f>
      </c>
      <c r="T119" s="4">
        <f>IF(J118&gt;0,J118*($J$8/100/12),0)</f>
      </c>
      <c r="U119" s="4">
        <f>IF(K118&gt;0,K118*($J$9/100/12),0)</f>
      </c>
      <c r="V119" s="4">
        <f>IF(L118&gt;0,L118*($J$10/100/12),0)</f>
      </c>
      <c r="W119" s="4">
        <f>IF(M118&gt;0,M118*($J$11/100/12),0)</f>
      </c>
      <c r="X119" s="4">
        <f>IF(N118&gt;0,N118*($J$12/100/12),0)</f>
      </c>
      <c r="Y119" s="4">
        <f>IF(O118&gt;0,O118*($J$13/100/12),0)</f>
      </c>
      <c r="Z119" s="4">
        <f>IF(P118&gt;0,P118*($J$14/100/12),0)</f>
      </c>
      <c r="AA119" s="4">
        <f>IF(G118&lt;=0,0,MIN($K$5,(G118+Q119)))</f>
      </c>
      <c r="AB119" s="4">
        <f>IF(H118&lt;=0,0,MIN($K$6,(H118+R119)))</f>
      </c>
      <c r="AC119" s="4">
        <f>IF(I118&lt;=0,0,MIN($K$7,(I118+S119)))</f>
      </c>
      <c r="AD119" s="4">
        <f>IF(J118&lt;=0,0,MIN($K$8,(J118+T119)))</f>
      </c>
      <c r="AE119" s="4">
        <f>IF(K118&lt;=0,0,MIN($K$9,(K118+U119)))</f>
      </c>
      <c r="AF119" s="4">
        <f>IF(L118&lt;=0,0,MIN($K$10,(L118+V119)))</f>
      </c>
      <c r="AG119" s="4">
        <f>IF(M118&lt;=0,0,MIN($K$11,(M118+W119)))</f>
      </c>
      <c r="AH119" s="4">
        <f>IF(N118&lt;=0,0,MIN($K$12,(N118+X119)))</f>
      </c>
      <c r="AI119" s="4">
        <f>IF(O118&lt;=0,0,MIN($K$13,(O118+Y119)))</f>
      </c>
      <c r="AJ119" s="4">
        <f>IF(P118&lt;=0,0,MIN($K$14,(P118+Z119)))</f>
      </c>
      <c r="AK119" s="4">
        <f>(G118+Q119)-AA119</f>
      </c>
      <c r="AL119" s="4">
        <f>(H118+R119)-AB119</f>
      </c>
      <c r="AM119" s="4">
        <f>(I118+S119)-AC119</f>
      </c>
      <c r="AN119" s="4">
        <f>(J118+T119)-AD119</f>
      </c>
      <c r="AO119" s="4">
        <f>(K118+U119)-AE119</f>
      </c>
      <c r="AP119" s="4">
        <f>(L118+V119)-AF119</f>
      </c>
      <c r="AQ119" s="4">
        <f>(M118+W119)-AG119</f>
      </c>
      <c r="AR119" s="4">
        <f>(N118+X119)-AH119</f>
      </c>
      <c r="AS119" s="4">
        <f>(O118+Y119)-AI119</f>
      </c>
      <c r="AT119" s="4">
        <f>(P118+Z119)-AJ119</f>
      </c>
      <c r="AU119" s="4">
        <f>$B$16+SUM($K$5:$K$14)-SUM(AA119:AJ119)</f>
      </c>
      <c r="AV119" s="4">
        <f>AU119-BE119</f>
      </c>
      <c r="AW119" s="4">
        <f>AV119-BF119</f>
      </c>
      <c r="AX119" s="4">
        <f>AW119-BG119</f>
      </c>
      <c r="AY119" s="4">
        <f>AX119-BH119</f>
      </c>
      <c r="AZ119" s="4">
        <f>AY119-BI119</f>
      </c>
      <c r="BA119" s="4">
        <f>AZ119-BJ119</f>
      </c>
      <c r="BB119" s="4">
        <f>BA119-BK119</f>
      </c>
      <c r="BC119" s="4">
        <f>BB119-BL119</f>
      </c>
      <c r="BD119" s="4">
        <f>BC119-BM119</f>
      </c>
      <c r="BE119" s="4">
        <f>IF(G118&lt;=0,0,MIN(AU119,AK119))</f>
      </c>
      <c r="BF119" s="4">
        <f>IF(H118&lt;=0,0,MIN(AV119,AL119))</f>
      </c>
      <c r="BG119" s="4">
        <f>IF(I118&lt;=0,0,MIN(AW119,AM119))</f>
      </c>
      <c r="BH119" s="4">
        <f>IF(J118&lt;=0,0,MIN(AX119,AN119))</f>
      </c>
      <c r="BI119" s="4">
        <f>IF(K118&lt;=0,0,MIN(AY119,AO119))</f>
      </c>
      <c r="BJ119" s="4">
        <f>IF(L118&lt;=0,0,MIN(AZ119,AP119))</f>
      </c>
      <c r="BK119" s="4">
        <f>IF(M118&lt;=0,0,MIN(BA119,AQ119))</f>
      </c>
      <c r="BL119" s="4">
        <f>IF(N118&lt;=0,0,MIN(BB119,AR119))</f>
      </c>
      <c r="BM119" s="4">
        <f>IF(O118&lt;=0,0,MIN(BC119,AS119))</f>
      </c>
      <c r="BN119" s="4">
        <f>IF(P118&lt;=0,0,MIN(BD119,AT119))</f>
      </c>
    </row>
    <row r="120" spans="1:66" x14ac:dyDescent="0.25">
      <c r="A120">
        <v>93</v>
      </c>
      <c r="B120" s="7">
        <f>EDATE($B$17,93)</f>
      </c>
      <c r="C120" s="4">
        <f>SUM(G120:P120)</f>
      </c>
      <c r="D120" s="4">
        <f>SUM(Q120:Z120)</f>
      </c>
      <c r="E120" s="4">
        <f>SUM(AA120:AJ120)+SUM(BE120:BN120)</f>
      </c>
      <c r="G120" s="4">
        <f>MAX(0,AK120-BE120)</f>
      </c>
      <c r="H120" s="4">
        <f>MAX(0,AL120-BF120)</f>
      </c>
      <c r="I120" s="4">
        <f>MAX(0,AM120-BG120)</f>
      </c>
      <c r="J120" s="4">
        <f>MAX(0,AN120-BH120)</f>
      </c>
      <c r="K120" s="4">
        <f>MAX(0,AO120-BI120)</f>
      </c>
      <c r="L120" s="4">
        <f>MAX(0,AP120-BJ120)</f>
      </c>
      <c r="M120" s="4">
        <f>MAX(0,AQ120-BK120)</f>
      </c>
      <c r="N120" s="4">
        <f>MAX(0,AR120-BL120)</f>
      </c>
      <c r="O120" s="4">
        <f>MAX(0,AS120-BM120)</f>
      </c>
      <c r="P120" s="4">
        <f>MAX(0,AT120-BN120)</f>
      </c>
      <c r="Q120" s="4">
        <f>IF(G119&gt;0,G119*($J$5/100/12),0)</f>
      </c>
      <c r="R120" s="4">
        <f>IF(H119&gt;0,H119*($J$6/100/12),0)</f>
      </c>
      <c r="S120" s="4">
        <f>IF(I119&gt;0,I119*($J$7/100/12),0)</f>
      </c>
      <c r="T120" s="4">
        <f>IF(J119&gt;0,J119*($J$8/100/12),0)</f>
      </c>
      <c r="U120" s="4">
        <f>IF(K119&gt;0,K119*($J$9/100/12),0)</f>
      </c>
      <c r="V120" s="4">
        <f>IF(L119&gt;0,L119*($J$10/100/12),0)</f>
      </c>
      <c r="W120" s="4">
        <f>IF(M119&gt;0,M119*($J$11/100/12),0)</f>
      </c>
      <c r="X120" s="4">
        <f>IF(N119&gt;0,N119*($J$12/100/12),0)</f>
      </c>
      <c r="Y120" s="4">
        <f>IF(O119&gt;0,O119*($J$13/100/12),0)</f>
      </c>
      <c r="Z120" s="4">
        <f>IF(P119&gt;0,P119*($J$14/100/12),0)</f>
      </c>
      <c r="AA120" s="4">
        <f>IF(G119&lt;=0,0,MIN($K$5,(G119+Q120)))</f>
      </c>
      <c r="AB120" s="4">
        <f>IF(H119&lt;=0,0,MIN($K$6,(H119+R120)))</f>
      </c>
      <c r="AC120" s="4">
        <f>IF(I119&lt;=0,0,MIN($K$7,(I119+S120)))</f>
      </c>
      <c r="AD120" s="4">
        <f>IF(J119&lt;=0,0,MIN($K$8,(J119+T120)))</f>
      </c>
      <c r="AE120" s="4">
        <f>IF(K119&lt;=0,0,MIN($K$9,(K119+U120)))</f>
      </c>
      <c r="AF120" s="4">
        <f>IF(L119&lt;=0,0,MIN($K$10,(L119+V120)))</f>
      </c>
      <c r="AG120" s="4">
        <f>IF(M119&lt;=0,0,MIN($K$11,(M119+W120)))</f>
      </c>
      <c r="AH120" s="4">
        <f>IF(N119&lt;=0,0,MIN($K$12,(N119+X120)))</f>
      </c>
      <c r="AI120" s="4">
        <f>IF(O119&lt;=0,0,MIN($K$13,(O119+Y120)))</f>
      </c>
      <c r="AJ120" s="4">
        <f>IF(P119&lt;=0,0,MIN($K$14,(P119+Z120)))</f>
      </c>
      <c r="AK120" s="4">
        <f>(G119+Q120)-AA120</f>
      </c>
      <c r="AL120" s="4">
        <f>(H119+R120)-AB120</f>
      </c>
      <c r="AM120" s="4">
        <f>(I119+S120)-AC120</f>
      </c>
      <c r="AN120" s="4">
        <f>(J119+T120)-AD120</f>
      </c>
      <c r="AO120" s="4">
        <f>(K119+U120)-AE120</f>
      </c>
      <c r="AP120" s="4">
        <f>(L119+V120)-AF120</f>
      </c>
      <c r="AQ120" s="4">
        <f>(M119+W120)-AG120</f>
      </c>
      <c r="AR120" s="4">
        <f>(N119+X120)-AH120</f>
      </c>
      <c r="AS120" s="4">
        <f>(O119+Y120)-AI120</f>
      </c>
      <c r="AT120" s="4">
        <f>(P119+Z120)-AJ120</f>
      </c>
      <c r="AU120" s="4">
        <f>$B$16+SUM($K$5:$K$14)-SUM(AA120:AJ120)</f>
      </c>
      <c r="AV120" s="4">
        <f>AU120-BE120</f>
      </c>
      <c r="AW120" s="4">
        <f>AV120-BF120</f>
      </c>
      <c r="AX120" s="4">
        <f>AW120-BG120</f>
      </c>
      <c r="AY120" s="4">
        <f>AX120-BH120</f>
      </c>
      <c r="AZ120" s="4">
        <f>AY120-BI120</f>
      </c>
      <c r="BA120" s="4">
        <f>AZ120-BJ120</f>
      </c>
      <c r="BB120" s="4">
        <f>BA120-BK120</f>
      </c>
      <c r="BC120" s="4">
        <f>BB120-BL120</f>
      </c>
      <c r="BD120" s="4">
        <f>BC120-BM120</f>
      </c>
      <c r="BE120" s="4">
        <f>IF(G119&lt;=0,0,MIN(AU120,AK120))</f>
      </c>
      <c r="BF120" s="4">
        <f>IF(H119&lt;=0,0,MIN(AV120,AL120))</f>
      </c>
      <c r="BG120" s="4">
        <f>IF(I119&lt;=0,0,MIN(AW120,AM120))</f>
      </c>
      <c r="BH120" s="4">
        <f>IF(J119&lt;=0,0,MIN(AX120,AN120))</f>
      </c>
      <c r="BI120" s="4">
        <f>IF(K119&lt;=0,0,MIN(AY120,AO120))</f>
      </c>
      <c r="BJ120" s="4">
        <f>IF(L119&lt;=0,0,MIN(AZ120,AP120))</f>
      </c>
      <c r="BK120" s="4">
        <f>IF(M119&lt;=0,0,MIN(BA120,AQ120))</f>
      </c>
      <c r="BL120" s="4">
        <f>IF(N119&lt;=0,0,MIN(BB120,AR120))</f>
      </c>
      <c r="BM120" s="4">
        <f>IF(O119&lt;=0,0,MIN(BC120,AS120))</f>
      </c>
      <c r="BN120" s="4">
        <f>IF(P119&lt;=0,0,MIN(BD120,AT120))</f>
      </c>
    </row>
    <row r="121" spans="1:66" x14ac:dyDescent="0.25">
      <c r="A121">
        <v>94</v>
      </c>
      <c r="B121" s="7">
        <f>EDATE($B$17,94)</f>
      </c>
      <c r="C121" s="4">
        <f>SUM(G121:P121)</f>
      </c>
      <c r="D121" s="4">
        <f>SUM(Q121:Z121)</f>
      </c>
      <c r="E121" s="4">
        <f>SUM(AA121:AJ121)+SUM(BE121:BN121)</f>
      </c>
      <c r="G121" s="4">
        <f>MAX(0,AK121-BE121)</f>
      </c>
      <c r="H121" s="4">
        <f>MAX(0,AL121-BF121)</f>
      </c>
      <c r="I121" s="4">
        <f>MAX(0,AM121-BG121)</f>
      </c>
      <c r="J121" s="4">
        <f>MAX(0,AN121-BH121)</f>
      </c>
      <c r="K121" s="4">
        <f>MAX(0,AO121-BI121)</f>
      </c>
      <c r="L121" s="4">
        <f>MAX(0,AP121-BJ121)</f>
      </c>
      <c r="M121" s="4">
        <f>MAX(0,AQ121-BK121)</f>
      </c>
      <c r="N121" s="4">
        <f>MAX(0,AR121-BL121)</f>
      </c>
      <c r="O121" s="4">
        <f>MAX(0,AS121-BM121)</f>
      </c>
      <c r="P121" s="4">
        <f>MAX(0,AT121-BN121)</f>
      </c>
      <c r="Q121" s="4">
        <f>IF(G120&gt;0,G120*($J$5/100/12),0)</f>
      </c>
      <c r="R121" s="4">
        <f>IF(H120&gt;0,H120*($J$6/100/12),0)</f>
      </c>
      <c r="S121" s="4">
        <f>IF(I120&gt;0,I120*($J$7/100/12),0)</f>
      </c>
      <c r="T121" s="4">
        <f>IF(J120&gt;0,J120*($J$8/100/12),0)</f>
      </c>
      <c r="U121" s="4">
        <f>IF(K120&gt;0,K120*($J$9/100/12),0)</f>
      </c>
      <c r="V121" s="4">
        <f>IF(L120&gt;0,L120*($J$10/100/12),0)</f>
      </c>
      <c r="W121" s="4">
        <f>IF(M120&gt;0,M120*($J$11/100/12),0)</f>
      </c>
      <c r="X121" s="4">
        <f>IF(N120&gt;0,N120*($J$12/100/12),0)</f>
      </c>
      <c r="Y121" s="4">
        <f>IF(O120&gt;0,O120*($J$13/100/12),0)</f>
      </c>
      <c r="Z121" s="4">
        <f>IF(P120&gt;0,P120*($J$14/100/12),0)</f>
      </c>
      <c r="AA121" s="4">
        <f>IF(G120&lt;=0,0,MIN($K$5,(G120+Q121)))</f>
      </c>
      <c r="AB121" s="4">
        <f>IF(H120&lt;=0,0,MIN($K$6,(H120+R121)))</f>
      </c>
      <c r="AC121" s="4">
        <f>IF(I120&lt;=0,0,MIN($K$7,(I120+S121)))</f>
      </c>
      <c r="AD121" s="4">
        <f>IF(J120&lt;=0,0,MIN($K$8,(J120+T121)))</f>
      </c>
      <c r="AE121" s="4">
        <f>IF(K120&lt;=0,0,MIN($K$9,(K120+U121)))</f>
      </c>
      <c r="AF121" s="4">
        <f>IF(L120&lt;=0,0,MIN($K$10,(L120+V121)))</f>
      </c>
      <c r="AG121" s="4">
        <f>IF(M120&lt;=0,0,MIN($K$11,(M120+W121)))</f>
      </c>
      <c r="AH121" s="4">
        <f>IF(N120&lt;=0,0,MIN($K$12,(N120+X121)))</f>
      </c>
      <c r="AI121" s="4">
        <f>IF(O120&lt;=0,0,MIN($K$13,(O120+Y121)))</f>
      </c>
      <c r="AJ121" s="4">
        <f>IF(P120&lt;=0,0,MIN($K$14,(P120+Z121)))</f>
      </c>
      <c r="AK121" s="4">
        <f>(G120+Q121)-AA121</f>
      </c>
      <c r="AL121" s="4">
        <f>(H120+R121)-AB121</f>
      </c>
      <c r="AM121" s="4">
        <f>(I120+S121)-AC121</f>
      </c>
      <c r="AN121" s="4">
        <f>(J120+T121)-AD121</f>
      </c>
      <c r="AO121" s="4">
        <f>(K120+U121)-AE121</f>
      </c>
      <c r="AP121" s="4">
        <f>(L120+V121)-AF121</f>
      </c>
      <c r="AQ121" s="4">
        <f>(M120+W121)-AG121</f>
      </c>
      <c r="AR121" s="4">
        <f>(N120+X121)-AH121</f>
      </c>
      <c r="AS121" s="4">
        <f>(O120+Y121)-AI121</f>
      </c>
      <c r="AT121" s="4">
        <f>(P120+Z121)-AJ121</f>
      </c>
      <c r="AU121" s="4">
        <f>$B$16+SUM($K$5:$K$14)-SUM(AA121:AJ121)</f>
      </c>
      <c r="AV121" s="4">
        <f>AU121-BE121</f>
      </c>
      <c r="AW121" s="4">
        <f>AV121-BF121</f>
      </c>
      <c r="AX121" s="4">
        <f>AW121-BG121</f>
      </c>
      <c r="AY121" s="4">
        <f>AX121-BH121</f>
      </c>
      <c r="AZ121" s="4">
        <f>AY121-BI121</f>
      </c>
      <c r="BA121" s="4">
        <f>AZ121-BJ121</f>
      </c>
      <c r="BB121" s="4">
        <f>BA121-BK121</f>
      </c>
      <c r="BC121" s="4">
        <f>BB121-BL121</f>
      </c>
      <c r="BD121" s="4">
        <f>BC121-BM121</f>
      </c>
      <c r="BE121" s="4">
        <f>IF(G120&lt;=0,0,MIN(AU121,AK121))</f>
      </c>
      <c r="BF121" s="4">
        <f>IF(H120&lt;=0,0,MIN(AV121,AL121))</f>
      </c>
      <c r="BG121" s="4">
        <f>IF(I120&lt;=0,0,MIN(AW121,AM121))</f>
      </c>
      <c r="BH121" s="4">
        <f>IF(J120&lt;=0,0,MIN(AX121,AN121))</f>
      </c>
      <c r="BI121" s="4">
        <f>IF(K120&lt;=0,0,MIN(AY121,AO121))</f>
      </c>
      <c r="BJ121" s="4">
        <f>IF(L120&lt;=0,0,MIN(AZ121,AP121))</f>
      </c>
      <c r="BK121" s="4">
        <f>IF(M120&lt;=0,0,MIN(BA121,AQ121))</f>
      </c>
      <c r="BL121" s="4">
        <f>IF(N120&lt;=0,0,MIN(BB121,AR121))</f>
      </c>
      <c r="BM121" s="4">
        <f>IF(O120&lt;=0,0,MIN(BC121,AS121))</f>
      </c>
      <c r="BN121" s="4">
        <f>IF(P120&lt;=0,0,MIN(BD121,AT121))</f>
      </c>
    </row>
    <row r="122" spans="1:66" x14ac:dyDescent="0.25">
      <c r="A122">
        <v>95</v>
      </c>
      <c r="B122" s="7">
        <f>EDATE($B$17,95)</f>
      </c>
      <c r="C122" s="4">
        <f>SUM(G122:P122)</f>
      </c>
      <c r="D122" s="4">
        <f>SUM(Q122:Z122)</f>
      </c>
      <c r="E122" s="4">
        <f>SUM(AA122:AJ122)+SUM(BE122:BN122)</f>
      </c>
      <c r="G122" s="4">
        <f>MAX(0,AK122-BE122)</f>
      </c>
      <c r="H122" s="4">
        <f>MAX(0,AL122-BF122)</f>
      </c>
      <c r="I122" s="4">
        <f>MAX(0,AM122-BG122)</f>
      </c>
      <c r="J122" s="4">
        <f>MAX(0,AN122-BH122)</f>
      </c>
      <c r="K122" s="4">
        <f>MAX(0,AO122-BI122)</f>
      </c>
      <c r="L122" s="4">
        <f>MAX(0,AP122-BJ122)</f>
      </c>
      <c r="M122" s="4">
        <f>MAX(0,AQ122-BK122)</f>
      </c>
      <c r="N122" s="4">
        <f>MAX(0,AR122-BL122)</f>
      </c>
      <c r="O122" s="4">
        <f>MAX(0,AS122-BM122)</f>
      </c>
      <c r="P122" s="4">
        <f>MAX(0,AT122-BN122)</f>
      </c>
      <c r="Q122" s="4">
        <f>IF(G121&gt;0,G121*($J$5/100/12),0)</f>
      </c>
      <c r="R122" s="4">
        <f>IF(H121&gt;0,H121*($J$6/100/12),0)</f>
      </c>
      <c r="S122" s="4">
        <f>IF(I121&gt;0,I121*($J$7/100/12),0)</f>
      </c>
      <c r="T122" s="4">
        <f>IF(J121&gt;0,J121*($J$8/100/12),0)</f>
      </c>
      <c r="U122" s="4">
        <f>IF(K121&gt;0,K121*($J$9/100/12),0)</f>
      </c>
      <c r="V122" s="4">
        <f>IF(L121&gt;0,L121*($J$10/100/12),0)</f>
      </c>
      <c r="W122" s="4">
        <f>IF(M121&gt;0,M121*($J$11/100/12),0)</f>
      </c>
      <c r="X122" s="4">
        <f>IF(N121&gt;0,N121*($J$12/100/12),0)</f>
      </c>
      <c r="Y122" s="4">
        <f>IF(O121&gt;0,O121*($J$13/100/12),0)</f>
      </c>
      <c r="Z122" s="4">
        <f>IF(P121&gt;0,P121*($J$14/100/12),0)</f>
      </c>
      <c r="AA122" s="4">
        <f>IF(G121&lt;=0,0,MIN($K$5,(G121+Q122)))</f>
      </c>
      <c r="AB122" s="4">
        <f>IF(H121&lt;=0,0,MIN($K$6,(H121+R122)))</f>
      </c>
      <c r="AC122" s="4">
        <f>IF(I121&lt;=0,0,MIN($K$7,(I121+S122)))</f>
      </c>
      <c r="AD122" s="4">
        <f>IF(J121&lt;=0,0,MIN($K$8,(J121+T122)))</f>
      </c>
      <c r="AE122" s="4">
        <f>IF(K121&lt;=0,0,MIN($K$9,(K121+U122)))</f>
      </c>
      <c r="AF122" s="4">
        <f>IF(L121&lt;=0,0,MIN($K$10,(L121+V122)))</f>
      </c>
      <c r="AG122" s="4">
        <f>IF(M121&lt;=0,0,MIN($K$11,(M121+W122)))</f>
      </c>
      <c r="AH122" s="4">
        <f>IF(N121&lt;=0,0,MIN($K$12,(N121+X122)))</f>
      </c>
      <c r="AI122" s="4">
        <f>IF(O121&lt;=0,0,MIN($K$13,(O121+Y122)))</f>
      </c>
      <c r="AJ122" s="4">
        <f>IF(P121&lt;=0,0,MIN($K$14,(P121+Z122)))</f>
      </c>
      <c r="AK122" s="4">
        <f>(G121+Q122)-AA122</f>
      </c>
      <c r="AL122" s="4">
        <f>(H121+R122)-AB122</f>
      </c>
      <c r="AM122" s="4">
        <f>(I121+S122)-AC122</f>
      </c>
      <c r="AN122" s="4">
        <f>(J121+T122)-AD122</f>
      </c>
      <c r="AO122" s="4">
        <f>(K121+U122)-AE122</f>
      </c>
      <c r="AP122" s="4">
        <f>(L121+V122)-AF122</f>
      </c>
      <c r="AQ122" s="4">
        <f>(M121+W122)-AG122</f>
      </c>
      <c r="AR122" s="4">
        <f>(N121+X122)-AH122</f>
      </c>
      <c r="AS122" s="4">
        <f>(O121+Y122)-AI122</f>
      </c>
      <c r="AT122" s="4">
        <f>(P121+Z122)-AJ122</f>
      </c>
      <c r="AU122" s="4">
        <f>$B$16+SUM($K$5:$K$14)-SUM(AA122:AJ122)</f>
      </c>
      <c r="AV122" s="4">
        <f>AU122-BE122</f>
      </c>
      <c r="AW122" s="4">
        <f>AV122-BF122</f>
      </c>
      <c r="AX122" s="4">
        <f>AW122-BG122</f>
      </c>
      <c r="AY122" s="4">
        <f>AX122-BH122</f>
      </c>
      <c r="AZ122" s="4">
        <f>AY122-BI122</f>
      </c>
      <c r="BA122" s="4">
        <f>AZ122-BJ122</f>
      </c>
      <c r="BB122" s="4">
        <f>BA122-BK122</f>
      </c>
      <c r="BC122" s="4">
        <f>BB122-BL122</f>
      </c>
      <c r="BD122" s="4">
        <f>BC122-BM122</f>
      </c>
      <c r="BE122" s="4">
        <f>IF(G121&lt;=0,0,MIN(AU122,AK122))</f>
      </c>
      <c r="BF122" s="4">
        <f>IF(H121&lt;=0,0,MIN(AV122,AL122))</f>
      </c>
      <c r="BG122" s="4">
        <f>IF(I121&lt;=0,0,MIN(AW122,AM122))</f>
      </c>
      <c r="BH122" s="4">
        <f>IF(J121&lt;=0,0,MIN(AX122,AN122))</f>
      </c>
      <c r="BI122" s="4">
        <f>IF(K121&lt;=0,0,MIN(AY122,AO122))</f>
      </c>
      <c r="BJ122" s="4">
        <f>IF(L121&lt;=0,0,MIN(AZ122,AP122))</f>
      </c>
      <c r="BK122" s="4">
        <f>IF(M121&lt;=0,0,MIN(BA122,AQ122))</f>
      </c>
      <c r="BL122" s="4">
        <f>IF(N121&lt;=0,0,MIN(BB122,AR122))</f>
      </c>
      <c r="BM122" s="4">
        <f>IF(O121&lt;=0,0,MIN(BC122,AS122))</f>
      </c>
      <c r="BN122" s="4">
        <f>IF(P121&lt;=0,0,MIN(BD122,AT122))</f>
      </c>
    </row>
    <row r="123" spans="1:66" x14ac:dyDescent="0.25">
      <c r="A123">
        <v>96</v>
      </c>
      <c r="B123" s="7">
        <f>EDATE($B$17,96)</f>
      </c>
      <c r="C123" s="4">
        <f>SUM(G123:P123)</f>
      </c>
      <c r="D123" s="4">
        <f>SUM(Q123:Z123)</f>
      </c>
      <c r="E123" s="4">
        <f>SUM(AA123:AJ123)+SUM(BE123:BN123)</f>
      </c>
      <c r="G123" s="4">
        <f>MAX(0,AK123-BE123)</f>
      </c>
      <c r="H123" s="4">
        <f>MAX(0,AL123-BF123)</f>
      </c>
      <c r="I123" s="4">
        <f>MAX(0,AM123-BG123)</f>
      </c>
      <c r="J123" s="4">
        <f>MAX(0,AN123-BH123)</f>
      </c>
      <c r="K123" s="4">
        <f>MAX(0,AO123-BI123)</f>
      </c>
      <c r="L123" s="4">
        <f>MAX(0,AP123-BJ123)</f>
      </c>
      <c r="M123" s="4">
        <f>MAX(0,AQ123-BK123)</f>
      </c>
      <c r="N123" s="4">
        <f>MAX(0,AR123-BL123)</f>
      </c>
      <c r="O123" s="4">
        <f>MAX(0,AS123-BM123)</f>
      </c>
      <c r="P123" s="4">
        <f>MAX(0,AT123-BN123)</f>
      </c>
      <c r="Q123" s="4">
        <f>IF(G122&gt;0,G122*($J$5/100/12),0)</f>
      </c>
      <c r="R123" s="4">
        <f>IF(H122&gt;0,H122*($J$6/100/12),0)</f>
      </c>
      <c r="S123" s="4">
        <f>IF(I122&gt;0,I122*($J$7/100/12),0)</f>
      </c>
      <c r="T123" s="4">
        <f>IF(J122&gt;0,J122*($J$8/100/12),0)</f>
      </c>
      <c r="U123" s="4">
        <f>IF(K122&gt;0,K122*($J$9/100/12),0)</f>
      </c>
      <c r="V123" s="4">
        <f>IF(L122&gt;0,L122*($J$10/100/12),0)</f>
      </c>
      <c r="W123" s="4">
        <f>IF(M122&gt;0,M122*($J$11/100/12),0)</f>
      </c>
      <c r="X123" s="4">
        <f>IF(N122&gt;0,N122*($J$12/100/12),0)</f>
      </c>
      <c r="Y123" s="4">
        <f>IF(O122&gt;0,O122*($J$13/100/12),0)</f>
      </c>
      <c r="Z123" s="4">
        <f>IF(P122&gt;0,P122*($J$14/100/12),0)</f>
      </c>
      <c r="AA123" s="4">
        <f>IF(G122&lt;=0,0,MIN($K$5,(G122+Q123)))</f>
      </c>
      <c r="AB123" s="4">
        <f>IF(H122&lt;=0,0,MIN($K$6,(H122+R123)))</f>
      </c>
      <c r="AC123" s="4">
        <f>IF(I122&lt;=0,0,MIN($K$7,(I122+S123)))</f>
      </c>
      <c r="AD123" s="4">
        <f>IF(J122&lt;=0,0,MIN($K$8,(J122+T123)))</f>
      </c>
      <c r="AE123" s="4">
        <f>IF(K122&lt;=0,0,MIN($K$9,(K122+U123)))</f>
      </c>
      <c r="AF123" s="4">
        <f>IF(L122&lt;=0,0,MIN($K$10,(L122+V123)))</f>
      </c>
      <c r="AG123" s="4">
        <f>IF(M122&lt;=0,0,MIN($K$11,(M122+W123)))</f>
      </c>
      <c r="AH123" s="4">
        <f>IF(N122&lt;=0,0,MIN($K$12,(N122+X123)))</f>
      </c>
      <c r="AI123" s="4">
        <f>IF(O122&lt;=0,0,MIN($K$13,(O122+Y123)))</f>
      </c>
      <c r="AJ123" s="4">
        <f>IF(P122&lt;=0,0,MIN($K$14,(P122+Z123)))</f>
      </c>
      <c r="AK123" s="4">
        <f>(G122+Q123)-AA123</f>
      </c>
      <c r="AL123" s="4">
        <f>(H122+R123)-AB123</f>
      </c>
      <c r="AM123" s="4">
        <f>(I122+S123)-AC123</f>
      </c>
      <c r="AN123" s="4">
        <f>(J122+T123)-AD123</f>
      </c>
      <c r="AO123" s="4">
        <f>(K122+U123)-AE123</f>
      </c>
      <c r="AP123" s="4">
        <f>(L122+V123)-AF123</f>
      </c>
      <c r="AQ123" s="4">
        <f>(M122+W123)-AG123</f>
      </c>
      <c r="AR123" s="4">
        <f>(N122+X123)-AH123</f>
      </c>
      <c r="AS123" s="4">
        <f>(O122+Y123)-AI123</f>
      </c>
      <c r="AT123" s="4">
        <f>(P122+Z123)-AJ123</f>
      </c>
      <c r="AU123" s="4">
        <f>$B$16+SUM($K$5:$K$14)-SUM(AA123:AJ123)</f>
      </c>
      <c r="AV123" s="4">
        <f>AU123-BE123</f>
      </c>
      <c r="AW123" s="4">
        <f>AV123-BF123</f>
      </c>
      <c r="AX123" s="4">
        <f>AW123-BG123</f>
      </c>
      <c r="AY123" s="4">
        <f>AX123-BH123</f>
      </c>
      <c r="AZ123" s="4">
        <f>AY123-BI123</f>
      </c>
      <c r="BA123" s="4">
        <f>AZ123-BJ123</f>
      </c>
      <c r="BB123" s="4">
        <f>BA123-BK123</f>
      </c>
      <c r="BC123" s="4">
        <f>BB123-BL123</f>
      </c>
      <c r="BD123" s="4">
        <f>BC123-BM123</f>
      </c>
      <c r="BE123" s="4">
        <f>IF(G122&lt;=0,0,MIN(AU123,AK123))</f>
      </c>
      <c r="BF123" s="4">
        <f>IF(H122&lt;=0,0,MIN(AV123,AL123))</f>
      </c>
      <c r="BG123" s="4">
        <f>IF(I122&lt;=0,0,MIN(AW123,AM123))</f>
      </c>
      <c r="BH123" s="4">
        <f>IF(J122&lt;=0,0,MIN(AX123,AN123))</f>
      </c>
      <c r="BI123" s="4">
        <f>IF(K122&lt;=0,0,MIN(AY123,AO123))</f>
      </c>
      <c r="BJ123" s="4">
        <f>IF(L122&lt;=0,0,MIN(AZ123,AP123))</f>
      </c>
      <c r="BK123" s="4">
        <f>IF(M122&lt;=0,0,MIN(BA123,AQ123))</f>
      </c>
      <c r="BL123" s="4">
        <f>IF(N122&lt;=0,0,MIN(BB123,AR123))</f>
      </c>
      <c r="BM123" s="4">
        <f>IF(O122&lt;=0,0,MIN(BC123,AS123))</f>
      </c>
      <c r="BN123" s="4">
        <f>IF(P122&lt;=0,0,MIN(BD123,AT123))</f>
      </c>
    </row>
    <row r="124" spans="1:66" x14ac:dyDescent="0.25">
      <c r="A124">
        <v>97</v>
      </c>
      <c r="B124" s="7">
        <f>EDATE($B$17,97)</f>
      </c>
      <c r="C124" s="4">
        <f>SUM(G124:P124)</f>
      </c>
      <c r="D124" s="4">
        <f>SUM(Q124:Z124)</f>
      </c>
      <c r="E124" s="4">
        <f>SUM(AA124:AJ124)+SUM(BE124:BN124)</f>
      </c>
      <c r="G124" s="4">
        <f>MAX(0,AK124-BE124)</f>
      </c>
      <c r="H124" s="4">
        <f>MAX(0,AL124-BF124)</f>
      </c>
      <c r="I124" s="4">
        <f>MAX(0,AM124-BG124)</f>
      </c>
      <c r="J124" s="4">
        <f>MAX(0,AN124-BH124)</f>
      </c>
      <c r="K124" s="4">
        <f>MAX(0,AO124-BI124)</f>
      </c>
      <c r="L124" s="4">
        <f>MAX(0,AP124-BJ124)</f>
      </c>
      <c r="M124" s="4">
        <f>MAX(0,AQ124-BK124)</f>
      </c>
      <c r="N124" s="4">
        <f>MAX(0,AR124-BL124)</f>
      </c>
      <c r="O124" s="4">
        <f>MAX(0,AS124-BM124)</f>
      </c>
      <c r="P124" s="4">
        <f>MAX(0,AT124-BN124)</f>
      </c>
      <c r="Q124" s="4">
        <f>IF(G123&gt;0,G123*($J$5/100/12),0)</f>
      </c>
      <c r="R124" s="4">
        <f>IF(H123&gt;0,H123*($J$6/100/12),0)</f>
      </c>
      <c r="S124" s="4">
        <f>IF(I123&gt;0,I123*($J$7/100/12),0)</f>
      </c>
      <c r="T124" s="4">
        <f>IF(J123&gt;0,J123*($J$8/100/12),0)</f>
      </c>
      <c r="U124" s="4">
        <f>IF(K123&gt;0,K123*($J$9/100/12),0)</f>
      </c>
      <c r="V124" s="4">
        <f>IF(L123&gt;0,L123*($J$10/100/12),0)</f>
      </c>
      <c r="W124" s="4">
        <f>IF(M123&gt;0,M123*($J$11/100/12),0)</f>
      </c>
      <c r="X124" s="4">
        <f>IF(N123&gt;0,N123*($J$12/100/12),0)</f>
      </c>
      <c r="Y124" s="4">
        <f>IF(O123&gt;0,O123*($J$13/100/12),0)</f>
      </c>
      <c r="Z124" s="4">
        <f>IF(P123&gt;0,P123*($J$14/100/12),0)</f>
      </c>
      <c r="AA124" s="4">
        <f>IF(G123&lt;=0,0,MIN($K$5,(G123+Q124)))</f>
      </c>
      <c r="AB124" s="4">
        <f>IF(H123&lt;=0,0,MIN($K$6,(H123+R124)))</f>
      </c>
      <c r="AC124" s="4">
        <f>IF(I123&lt;=0,0,MIN($K$7,(I123+S124)))</f>
      </c>
      <c r="AD124" s="4">
        <f>IF(J123&lt;=0,0,MIN($K$8,(J123+T124)))</f>
      </c>
      <c r="AE124" s="4">
        <f>IF(K123&lt;=0,0,MIN($K$9,(K123+U124)))</f>
      </c>
      <c r="AF124" s="4">
        <f>IF(L123&lt;=0,0,MIN($K$10,(L123+V124)))</f>
      </c>
      <c r="AG124" s="4">
        <f>IF(M123&lt;=0,0,MIN($K$11,(M123+W124)))</f>
      </c>
      <c r="AH124" s="4">
        <f>IF(N123&lt;=0,0,MIN($K$12,(N123+X124)))</f>
      </c>
      <c r="AI124" s="4">
        <f>IF(O123&lt;=0,0,MIN($K$13,(O123+Y124)))</f>
      </c>
      <c r="AJ124" s="4">
        <f>IF(P123&lt;=0,0,MIN($K$14,(P123+Z124)))</f>
      </c>
      <c r="AK124" s="4">
        <f>(G123+Q124)-AA124</f>
      </c>
      <c r="AL124" s="4">
        <f>(H123+R124)-AB124</f>
      </c>
      <c r="AM124" s="4">
        <f>(I123+S124)-AC124</f>
      </c>
      <c r="AN124" s="4">
        <f>(J123+T124)-AD124</f>
      </c>
      <c r="AO124" s="4">
        <f>(K123+U124)-AE124</f>
      </c>
      <c r="AP124" s="4">
        <f>(L123+V124)-AF124</f>
      </c>
      <c r="AQ124" s="4">
        <f>(M123+W124)-AG124</f>
      </c>
      <c r="AR124" s="4">
        <f>(N123+X124)-AH124</f>
      </c>
      <c r="AS124" s="4">
        <f>(O123+Y124)-AI124</f>
      </c>
      <c r="AT124" s="4">
        <f>(P123+Z124)-AJ124</f>
      </c>
      <c r="AU124" s="4">
        <f>$B$16+SUM($K$5:$K$14)-SUM(AA124:AJ124)</f>
      </c>
      <c r="AV124" s="4">
        <f>AU124-BE124</f>
      </c>
      <c r="AW124" s="4">
        <f>AV124-BF124</f>
      </c>
      <c r="AX124" s="4">
        <f>AW124-BG124</f>
      </c>
      <c r="AY124" s="4">
        <f>AX124-BH124</f>
      </c>
      <c r="AZ124" s="4">
        <f>AY124-BI124</f>
      </c>
      <c r="BA124" s="4">
        <f>AZ124-BJ124</f>
      </c>
      <c r="BB124" s="4">
        <f>BA124-BK124</f>
      </c>
      <c r="BC124" s="4">
        <f>BB124-BL124</f>
      </c>
      <c r="BD124" s="4">
        <f>BC124-BM124</f>
      </c>
      <c r="BE124" s="4">
        <f>IF(G123&lt;=0,0,MIN(AU124,AK124))</f>
      </c>
      <c r="BF124" s="4">
        <f>IF(H123&lt;=0,0,MIN(AV124,AL124))</f>
      </c>
      <c r="BG124" s="4">
        <f>IF(I123&lt;=0,0,MIN(AW124,AM124))</f>
      </c>
      <c r="BH124" s="4">
        <f>IF(J123&lt;=0,0,MIN(AX124,AN124))</f>
      </c>
      <c r="BI124" s="4">
        <f>IF(K123&lt;=0,0,MIN(AY124,AO124))</f>
      </c>
      <c r="BJ124" s="4">
        <f>IF(L123&lt;=0,0,MIN(AZ124,AP124))</f>
      </c>
      <c r="BK124" s="4">
        <f>IF(M123&lt;=0,0,MIN(BA124,AQ124))</f>
      </c>
      <c r="BL124" s="4">
        <f>IF(N123&lt;=0,0,MIN(BB124,AR124))</f>
      </c>
      <c r="BM124" s="4">
        <f>IF(O123&lt;=0,0,MIN(BC124,AS124))</f>
      </c>
      <c r="BN124" s="4">
        <f>IF(P123&lt;=0,0,MIN(BD124,AT124))</f>
      </c>
    </row>
    <row r="125" spans="1:66" x14ac:dyDescent="0.25">
      <c r="A125">
        <v>98</v>
      </c>
      <c r="B125" s="7">
        <f>EDATE($B$17,98)</f>
      </c>
      <c r="C125" s="4">
        <f>SUM(G125:P125)</f>
      </c>
      <c r="D125" s="4">
        <f>SUM(Q125:Z125)</f>
      </c>
      <c r="E125" s="4">
        <f>SUM(AA125:AJ125)+SUM(BE125:BN125)</f>
      </c>
      <c r="G125" s="4">
        <f>MAX(0,AK125-BE125)</f>
      </c>
      <c r="H125" s="4">
        <f>MAX(0,AL125-BF125)</f>
      </c>
      <c r="I125" s="4">
        <f>MAX(0,AM125-BG125)</f>
      </c>
      <c r="J125" s="4">
        <f>MAX(0,AN125-BH125)</f>
      </c>
      <c r="K125" s="4">
        <f>MAX(0,AO125-BI125)</f>
      </c>
      <c r="L125" s="4">
        <f>MAX(0,AP125-BJ125)</f>
      </c>
      <c r="M125" s="4">
        <f>MAX(0,AQ125-BK125)</f>
      </c>
      <c r="N125" s="4">
        <f>MAX(0,AR125-BL125)</f>
      </c>
      <c r="O125" s="4">
        <f>MAX(0,AS125-BM125)</f>
      </c>
      <c r="P125" s="4">
        <f>MAX(0,AT125-BN125)</f>
      </c>
      <c r="Q125" s="4">
        <f>IF(G124&gt;0,G124*($J$5/100/12),0)</f>
      </c>
      <c r="R125" s="4">
        <f>IF(H124&gt;0,H124*($J$6/100/12),0)</f>
      </c>
      <c r="S125" s="4">
        <f>IF(I124&gt;0,I124*($J$7/100/12),0)</f>
      </c>
      <c r="T125" s="4">
        <f>IF(J124&gt;0,J124*($J$8/100/12),0)</f>
      </c>
      <c r="U125" s="4">
        <f>IF(K124&gt;0,K124*($J$9/100/12),0)</f>
      </c>
      <c r="V125" s="4">
        <f>IF(L124&gt;0,L124*($J$10/100/12),0)</f>
      </c>
      <c r="W125" s="4">
        <f>IF(M124&gt;0,M124*($J$11/100/12),0)</f>
      </c>
      <c r="X125" s="4">
        <f>IF(N124&gt;0,N124*($J$12/100/12),0)</f>
      </c>
      <c r="Y125" s="4">
        <f>IF(O124&gt;0,O124*($J$13/100/12),0)</f>
      </c>
      <c r="Z125" s="4">
        <f>IF(P124&gt;0,P124*($J$14/100/12),0)</f>
      </c>
      <c r="AA125" s="4">
        <f>IF(G124&lt;=0,0,MIN($K$5,(G124+Q125)))</f>
      </c>
      <c r="AB125" s="4">
        <f>IF(H124&lt;=0,0,MIN($K$6,(H124+R125)))</f>
      </c>
      <c r="AC125" s="4">
        <f>IF(I124&lt;=0,0,MIN($K$7,(I124+S125)))</f>
      </c>
      <c r="AD125" s="4">
        <f>IF(J124&lt;=0,0,MIN($K$8,(J124+T125)))</f>
      </c>
      <c r="AE125" s="4">
        <f>IF(K124&lt;=0,0,MIN($K$9,(K124+U125)))</f>
      </c>
      <c r="AF125" s="4">
        <f>IF(L124&lt;=0,0,MIN($K$10,(L124+V125)))</f>
      </c>
      <c r="AG125" s="4">
        <f>IF(M124&lt;=0,0,MIN($K$11,(M124+W125)))</f>
      </c>
      <c r="AH125" s="4">
        <f>IF(N124&lt;=0,0,MIN($K$12,(N124+X125)))</f>
      </c>
      <c r="AI125" s="4">
        <f>IF(O124&lt;=0,0,MIN($K$13,(O124+Y125)))</f>
      </c>
      <c r="AJ125" s="4">
        <f>IF(P124&lt;=0,0,MIN($K$14,(P124+Z125)))</f>
      </c>
      <c r="AK125" s="4">
        <f>(G124+Q125)-AA125</f>
      </c>
      <c r="AL125" s="4">
        <f>(H124+R125)-AB125</f>
      </c>
      <c r="AM125" s="4">
        <f>(I124+S125)-AC125</f>
      </c>
      <c r="AN125" s="4">
        <f>(J124+T125)-AD125</f>
      </c>
      <c r="AO125" s="4">
        <f>(K124+U125)-AE125</f>
      </c>
      <c r="AP125" s="4">
        <f>(L124+V125)-AF125</f>
      </c>
      <c r="AQ125" s="4">
        <f>(M124+W125)-AG125</f>
      </c>
      <c r="AR125" s="4">
        <f>(N124+X125)-AH125</f>
      </c>
      <c r="AS125" s="4">
        <f>(O124+Y125)-AI125</f>
      </c>
      <c r="AT125" s="4">
        <f>(P124+Z125)-AJ125</f>
      </c>
      <c r="AU125" s="4">
        <f>$B$16+SUM($K$5:$K$14)-SUM(AA125:AJ125)</f>
      </c>
      <c r="AV125" s="4">
        <f>AU125-BE125</f>
      </c>
      <c r="AW125" s="4">
        <f>AV125-BF125</f>
      </c>
      <c r="AX125" s="4">
        <f>AW125-BG125</f>
      </c>
      <c r="AY125" s="4">
        <f>AX125-BH125</f>
      </c>
      <c r="AZ125" s="4">
        <f>AY125-BI125</f>
      </c>
      <c r="BA125" s="4">
        <f>AZ125-BJ125</f>
      </c>
      <c r="BB125" s="4">
        <f>BA125-BK125</f>
      </c>
      <c r="BC125" s="4">
        <f>BB125-BL125</f>
      </c>
      <c r="BD125" s="4">
        <f>BC125-BM125</f>
      </c>
      <c r="BE125" s="4">
        <f>IF(G124&lt;=0,0,MIN(AU125,AK125))</f>
      </c>
      <c r="BF125" s="4">
        <f>IF(H124&lt;=0,0,MIN(AV125,AL125))</f>
      </c>
      <c r="BG125" s="4">
        <f>IF(I124&lt;=0,0,MIN(AW125,AM125))</f>
      </c>
      <c r="BH125" s="4">
        <f>IF(J124&lt;=0,0,MIN(AX125,AN125))</f>
      </c>
      <c r="BI125" s="4">
        <f>IF(K124&lt;=0,0,MIN(AY125,AO125))</f>
      </c>
      <c r="BJ125" s="4">
        <f>IF(L124&lt;=0,0,MIN(AZ125,AP125))</f>
      </c>
      <c r="BK125" s="4">
        <f>IF(M124&lt;=0,0,MIN(BA125,AQ125))</f>
      </c>
      <c r="BL125" s="4">
        <f>IF(N124&lt;=0,0,MIN(BB125,AR125))</f>
      </c>
      <c r="BM125" s="4">
        <f>IF(O124&lt;=0,0,MIN(BC125,AS125))</f>
      </c>
      <c r="BN125" s="4">
        <f>IF(P124&lt;=0,0,MIN(BD125,AT125))</f>
      </c>
    </row>
    <row r="126" spans="1:66" x14ac:dyDescent="0.25">
      <c r="A126">
        <v>99</v>
      </c>
      <c r="B126" s="7">
        <f>EDATE($B$17,99)</f>
      </c>
      <c r="C126" s="4">
        <f>SUM(G126:P126)</f>
      </c>
      <c r="D126" s="4">
        <f>SUM(Q126:Z126)</f>
      </c>
      <c r="E126" s="4">
        <f>SUM(AA126:AJ126)+SUM(BE126:BN126)</f>
      </c>
      <c r="G126" s="4">
        <f>MAX(0,AK126-BE126)</f>
      </c>
      <c r="H126" s="4">
        <f>MAX(0,AL126-BF126)</f>
      </c>
      <c r="I126" s="4">
        <f>MAX(0,AM126-BG126)</f>
      </c>
      <c r="J126" s="4">
        <f>MAX(0,AN126-BH126)</f>
      </c>
      <c r="K126" s="4">
        <f>MAX(0,AO126-BI126)</f>
      </c>
      <c r="L126" s="4">
        <f>MAX(0,AP126-BJ126)</f>
      </c>
      <c r="M126" s="4">
        <f>MAX(0,AQ126-BK126)</f>
      </c>
      <c r="N126" s="4">
        <f>MAX(0,AR126-BL126)</f>
      </c>
      <c r="O126" s="4">
        <f>MAX(0,AS126-BM126)</f>
      </c>
      <c r="P126" s="4">
        <f>MAX(0,AT126-BN126)</f>
      </c>
      <c r="Q126" s="4">
        <f>IF(G125&gt;0,G125*($J$5/100/12),0)</f>
      </c>
      <c r="R126" s="4">
        <f>IF(H125&gt;0,H125*($J$6/100/12),0)</f>
      </c>
      <c r="S126" s="4">
        <f>IF(I125&gt;0,I125*($J$7/100/12),0)</f>
      </c>
      <c r="T126" s="4">
        <f>IF(J125&gt;0,J125*($J$8/100/12),0)</f>
      </c>
      <c r="U126" s="4">
        <f>IF(K125&gt;0,K125*($J$9/100/12),0)</f>
      </c>
      <c r="V126" s="4">
        <f>IF(L125&gt;0,L125*($J$10/100/12),0)</f>
      </c>
      <c r="W126" s="4">
        <f>IF(M125&gt;0,M125*($J$11/100/12),0)</f>
      </c>
      <c r="X126" s="4">
        <f>IF(N125&gt;0,N125*($J$12/100/12),0)</f>
      </c>
      <c r="Y126" s="4">
        <f>IF(O125&gt;0,O125*($J$13/100/12),0)</f>
      </c>
      <c r="Z126" s="4">
        <f>IF(P125&gt;0,P125*($J$14/100/12),0)</f>
      </c>
      <c r="AA126" s="4">
        <f>IF(G125&lt;=0,0,MIN($K$5,(G125+Q126)))</f>
      </c>
      <c r="AB126" s="4">
        <f>IF(H125&lt;=0,0,MIN($K$6,(H125+R126)))</f>
      </c>
      <c r="AC126" s="4">
        <f>IF(I125&lt;=0,0,MIN($K$7,(I125+S126)))</f>
      </c>
      <c r="AD126" s="4">
        <f>IF(J125&lt;=0,0,MIN($K$8,(J125+T126)))</f>
      </c>
      <c r="AE126" s="4">
        <f>IF(K125&lt;=0,0,MIN($K$9,(K125+U126)))</f>
      </c>
      <c r="AF126" s="4">
        <f>IF(L125&lt;=0,0,MIN($K$10,(L125+V126)))</f>
      </c>
      <c r="AG126" s="4">
        <f>IF(M125&lt;=0,0,MIN($K$11,(M125+W126)))</f>
      </c>
      <c r="AH126" s="4">
        <f>IF(N125&lt;=0,0,MIN($K$12,(N125+X126)))</f>
      </c>
      <c r="AI126" s="4">
        <f>IF(O125&lt;=0,0,MIN($K$13,(O125+Y126)))</f>
      </c>
      <c r="AJ126" s="4">
        <f>IF(P125&lt;=0,0,MIN($K$14,(P125+Z126)))</f>
      </c>
      <c r="AK126" s="4">
        <f>(G125+Q126)-AA126</f>
      </c>
      <c r="AL126" s="4">
        <f>(H125+R126)-AB126</f>
      </c>
      <c r="AM126" s="4">
        <f>(I125+S126)-AC126</f>
      </c>
      <c r="AN126" s="4">
        <f>(J125+T126)-AD126</f>
      </c>
      <c r="AO126" s="4">
        <f>(K125+U126)-AE126</f>
      </c>
      <c r="AP126" s="4">
        <f>(L125+V126)-AF126</f>
      </c>
      <c r="AQ126" s="4">
        <f>(M125+W126)-AG126</f>
      </c>
      <c r="AR126" s="4">
        <f>(N125+X126)-AH126</f>
      </c>
      <c r="AS126" s="4">
        <f>(O125+Y126)-AI126</f>
      </c>
      <c r="AT126" s="4">
        <f>(P125+Z126)-AJ126</f>
      </c>
      <c r="AU126" s="4">
        <f>$B$16+SUM($K$5:$K$14)-SUM(AA126:AJ126)</f>
      </c>
      <c r="AV126" s="4">
        <f>AU126-BE126</f>
      </c>
      <c r="AW126" s="4">
        <f>AV126-BF126</f>
      </c>
      <c r="AX126" s="4">
        <f>AW126-BG126</f>
      </c>
      <c r="AY126" s="4">
        <f>AX126-BH126</f>
      </c>
      <c r="AZ126" s="4">
        <f>AY126-BI126</f>
      </c>
      <c r="BA126" s="4">
        <f>AZ126-BJ126</f>
      </c>
      <c r="BB126" s="4">
        <f>BA126-BK126</f>
      </c>
      <c r="BC126" s="4">
        <f>BB126-BL126</f>
      </c>
      <c r="BD126" s="4">
        <f>BC126-BM126</f>
      </c>
      <c r="BE126" s="4">
        <f>IF(G125&lt;=0,0,MIN(AU126,AK126))</f>
      </c>
      <c r="BF126" s="4">
        <f>IF(H125&lt;=0,0,MIN(AV126,AL126))</f>
      </c>
      <c r="BG126" s="4">
        <f>IF(I125&lt;=0,0,MIN(AW126,AM126))</f>
      </c>
      <c r="BH126" s="4">
        <f>IF(J125&lt;=0,0,MIN(AX126,AN126))</f>
      </c>
      <c r="BI126" s="4">
        <f>IF(K125&lt;=0,0,MIN(AY126,AO126))</f>
      </c>
      <c r="BJ126" s="4">
        <f>IF(L125&lt;=0,0,MIN(AZ126,AP126))</f>
      </c>
      <c r="BK126" s="4">
        <f>IF(M125&lt;=0,0,MIN(BA126,AQ126))</f>
      </c>
      <c r="BL126" s="4">
        <f>IF(N125&lt;=0,0,MIN(BB126,AR126))</f>
      </c>
      <c r="BM126" s="4">
        <f>IF(O125&lt;=0,0,MIN(BC126,AS126))</f>
      </c>
      <c r="BN126" s="4">
        <f>IF(P125&lt;=0,0,MIN(BD126,AT126))</f>
      </c>
    </row>
    <row r="127" spans="1:66" x14ac:dyDescent="0.25">
      <c r="A127">
        <v>100</v>
      </c>
      <c r="B127" s="7">
        <f>EDATE($B$17,100)</f>
      </c>
      <c r="C127" s="4">
        <f>SUM(G127:P127)</f>
      </c>
      <c r="D127" s="4">
        <f>SUM(Q127:Z127)</f>
      </c>
      <c r="E127" s="4">
        <f>SUM(AA127:AJ127)+SUM(BE127:BN127)</f>
      </c>
      <c r="G127" s="4">
        <f>MAX(0,AK127-BE127)</f>
      </c>
      <c r="H127" s="4">
        <f>MAX(0,AL127-BF127)</f>
      </c>
      <c r="I127" s="4">
        <f>MAX(0,AM127-BG127)</f>
      </c>
      <c r="J127" s="4">
        <f>MAX(0,AN127-BH127)</f>
      </c>
      <c r="K127" s="4">
        <f>MAX(0,AO127-BI127)</f>
      </c>
      <c r="L127" s="4">
        <f>MAX(0,AP127-BJ127)</f>
      </c>
      <c r="M127" s="4">
        <f>MAX(0,AQ127-BK127)</f>
      </c>
      <c r="N127" s="4">
        <f>MAX(0,AR127-BL127)</f>
      </c>
      <c r="O127" s="4">
        <f>MAX(0,AS127-BM127)</f>
      </c>
      <c r="P127" s="4">
        <f>MAX(0,AT127-BN127)</f>
      </c>
      <c r="Q127" s="4">
        <f>IF(G126&gt;0,G126*($J$5/100/12),0)</f>
      </c>
      <c r="R127" s="4">
        <f>IF(H126&gt;0,H126*($J$6/100/12),0)</f>
      </c>
      <c r="S127" s="4">
        <f>IF(I126&gt;0,I126*($J$7/100/12),0)</f>
      </c>
      <c r="T127" s="4">
        <f>IF(J126&gt;0,J126*($J$8/100/12),0)</f>
      </c>
      <c r="U127" s="4">
        <f>IF(K126&gt;0,K126*($J$9/100/12),0)</f>
      </c>
      <c r="V127" s="4">
        <f>IF(L126&gt;0,L126*($J$10/100/12),0)</f>
      </c>
      <c r="W127" s="4">
        <f>IF(M126&gt;0,M126*($J$11/100/12),0)</f>
      </c>
      <c r="X127" s="4">
        <f>IF(N126&gt;0,N126*($J$12/100/12),0)</f>
      </c>
      <c r="Y127" s="4">
        <f>IF(O126&gt;0,O126*($J$13/100/12),0)</f>
      </c>
      <c r="Z127" s="4">
        <f>IF(P126&gt;0,P126*($J$14/100/12),0)</f>
      </c>
      <c r="AA127" s="4">
        <f>IF(G126&lt;=0,0,MIN($K$5,(G126+Q127)))</f>
      </c>
      <c r="AB127" s="4">
        <f>IF(H126&lt;=0,0,MIN($K$6,(H126+R127)))</f>
      </c>
      <c r="AC127" s="4">
        <f>IF(I126&lt;=0,0,MIN($K$7,(I126+S127)))</f>
      </c>
      <c r="AD127" s="4">
        <f>IF(J126&lt;=0,0,MIN($K$8,(J126+T127)))</f>
      </c>
      <c r="AE127" s="4">
        <f>IF(K126&lt;=0,0,MIN($K$9,(K126+U127)))</f>
      </c>
      <c r="AF127" s="4">
        <f>IF(L126&lt;=0,0,MIN($K$10,(L126+V127)))</f>
      </c>
      <c r="AG127" s="4">
        <f>IF(M126&lt;=0,0,MIN($K$11,(M126+W127)))</f>
      </c>
      <c r="AH127" s="4">
        <f>IF(N126&lt;=0,0,MIN($K$12,(N126+X127)))</f>
      </c>
      <c r="AI127" s="4">
        <f>IF(O126&lt;=0,0,MIN($K$13,(O126+Y127)))</f>
      </c>
      <c r="AJ127" s="4">
        <f>IF(P126&lt;=0,0,MIN($K$14,(P126+Z127)))</f>
      </c>
      <c r="AK127" s="4">
        <f>(G126+Q127)-AA127</f>
      </c>
      <c r="AL127" s="4">
        <f>(H126+R127)-AB127</f>
      </c>
      <c r="AM127" s="4">
        <f>(I126+S127)-AC127</f>
      </c>
      <c r="AN127" s="4">
        <f>(J126+T127)-AD127</f>
      </c>
      <c r="AO127" s="4">
        <f>(K126+U127)-AE127</f>
      </c>
      <c r="AP127" s="4">
        <f>(L126+V127)-AF127</f>
      </c>
      <c r="AQ127" s="4">
        <f>(M126+W127)-AG127</f>
      </c>
      <c r="AR127" s="4">
        <f>(N126+X127)-AH127</f>
      </c>
      <c r="AS127" s="4">
        <f>(O126+Y127)-AI127</f>
      </c>
      <c r="AT127" s="4">
        <f>(P126+Z127)-AJ127</f>
      </c>
      <c r="AU127" s="4">
        <f>$B$16+SUM($K$5:$K$14)-SUM(AA127:AJ127)</f>
      </c>
      <c r="AV127" s="4">
        <f>AU127-BE127</f>
      </c>
      <c r="AW127" s="4">
        <f>AV127-BF127</f>
      </c>
      <c r="AX127" s="4">
        <f>AW127-BG127</f>
      </c>
      <c r="AY127" s="4">
        <f>AX127-BH127</f>
      </c>
      <c r="AZ127" s="4">
        <f>AY127-BI127</f>
      </c>
      <c r="BA127" s="4">
        <f>AZ127-BJ127</f>
      </c>
      <c r="BB127" s="4">
        <f>BA127-BK127</f>
      </c>
      <c r="BC127" s="4">
        <f>BB127-BL127</f>
      </c>
      <c r="BD127" s="4">
        <f>BC127-BM127</f>
      </c>
      <c r="BE127" s="4">
        <f>IF(G126&lt;=0,0,MIN(AU127,AK127))</f>
      </c>
      <c r="BF127" s="4">
        <f>IF(H126&lt;=0,0,MIN(AV127,AL127))</f>
      </c>
      <c r="BG127" s="4">
        <f>IF(I126&lt;=0,0,MIN(AW127,AM127))</f>
      </c>
      <c r="BH127" s="4">
        <f>IF(J126&lt;=0,0,MIN(AX127,AN127))</f>
      </c>
      <c r="BI127" s="4">
        <f>IF(K126&lt;=0,0,MIN(AY127,AO127))</f>
      </c>
      <c r="BJ127" s="4">
        <f>IF(L126&lt;=0,0,MIN(AZ127,AP127))</f>
      </c>
      <c r="BK127" s="4">
        <f>IF(M126&lt;=0,0,MIN(BA127,AQ127))</f>
      </c>
      <c r="BL127" s="4">
        <f>IF(N126&lt;=0,0,MIN(BB127,AR127))</f>
      </c>
      <c r="BM127" s="4">
        <f>IF(O126&lt;=0,0,MIN(BC127,AS127))</f>
      </c>
      <c r="BN127" s="4">
        <f>IF(P126&lt;=0,0,MIN(BD127,AT127))</f>
      </c>
    </row>
    <row r="128" spans="1:66" x14ac:dyDescent="0.25">
      <c r="A128">
        <v>101</v>
      </c>
      <c r="B128" s="7">
        <f>EDATE($B$17,101)</f>
      </c>
      <c r="C128" s="4">
        <f>SUM(G128:P128)</f>
      </c>
      <c r="D128" s="4">
        <f>SUM(Q128:Z128)</f>
      </c>
      <c r="E128" s="4">
        <f>SUM(AA128:AJ128)+SUM(BE128:BN128)</f>
      </c>
      <c r="G128" s="4">
        <f>MAX(0,AK128-BE128)</f>
      </c>
      <c r="H128" s="4">
        <f>MAX(0,AL128-BF128)</f>
      </c>
      <c r="I128" s="4">
        <f>MAX(0,AM128-BG128)</f>
      </c>
      <c r="J128" s="4">
        <f>MAX(0,AN128-BH128)</f>
      </c>
      <c r="K128" s="4">
        <f>MAX(0,AO128-BI128)</f>
      </c>
      <c r="L128" s="4">
        <f>MAX(0,AP128-BJ128)</f>
      </c>
      <c r="M128" s="4">
        <f>MAX(0,AQ128-BK128)</f>
      </c>
      <c r="N128" s="4">
        <f>MAX(0,AR128-BL128)</f>
      </c>
      <c r="O128" s="4">
        <f>MAX(0,AS128-BM128)</f>
      </c>
      <c r="P128" s="4">
        <f>MAX(0,AT128-BN128)</f>
      </c>
      <c r="Q128" s="4">
        <f>IF(G127&gt;0,G127*($J$5/100/12),0)</f>
      </c>
      <c r="R128" s="4">
        <f>IF(H127&gt;0,H127*($J$6/100/12),0)</f>
      </c>
      <c r="S128" s="4">
        <f>IF(I127&gt;0,I127*($J$7/100/12),0)</f>
      </c>
      <c r="T128" s="4">
        <f>IF(J127&gt;0,J127*($J$8/100/12),0)</f>
      </c>
      <c r="U128" s="4">
        <f>IF(K127&gt;0,K127*($J$9/100/12),0)</f>
      </c>
      <c r="V128" s="4">
        <f>IF(L127&gt;0,L127*($J$10/100/12),0)</f>
      </c>
      <c r="W128" s="4">
        <f>IF(M127&gt;0,M127*($J$11/100/12),0)</f>
      </c>
      <c r="X128" s="4">
        <f>IF(N127&gt;0,N127*($J$12/100/12),0)</f>
      </c>
      <c r="Y128" s="4">
        <f>IF(O127&gt;0,O127*($J$13/100/12),0)</f>
      </c>
      <c r="Z128" s="4">
        <f>IF(P127&gt;0,P127*($J$14/100/12),0)</f>
      </c>
      <c r="AA128" s="4">
        <f>IF(G127&lt;=0,0,MIN($K$5,(G127+Q128)))</f>
      </c>
      <c r="AB128" s="4">
        <f>IF(H127&lt;=0,0,MIN($K$6,(H127+R128)))</f>
      </c>
      <c r="AC128" s="4">
        <f>IF(I127&lt;=0,0,MIN($K$7,(I127+S128)))</f>
      </c>
      <c r="AD128" s="4">
        <f>IF(J127&lt;=0,0,MIN($K$8,(J127+T128)))</f>
      </c>
      <c r="AE128" s="4">
        <f>IF(K127&lt;=0,0,MIN($K$9,(K127+U128)))</f>
      </c>
      <c r="AF128" s="4">
        <f>IF(L127&lt;=0,0,MIN($K$10,(L127+V128)))</f>
      </c>
      <c r="AG128" s="4">
        <f>IF(M127&lt;=0,0,MIN($K$11,(M127+W128)))</f>
      </c>
      <c r="AH128" s="4">
        <f>IF(N127&lt;=0,0,MIN($K$12,(N127+X128)))</f>
      </c>
      <c r="AI128" s="4">
        <f>IF(O127&lt;=0,0,MIN($K$13,(O127+Y128)))</f>
      </c>
      <c r="AJ128" s="4">
        <f>IF(P127&lt;=0,0,MIN($K$14,(P127+Z128)))</f>
      </c>
      <c r="AK128" s="4">
        <f>(G127+Q128)-AA128</f>
      </c>
      <c r="AL128" s="4">
        <f>(H127+R128)-AB128</f>
      </c>
      <c r="AM128" s="4">
        <f>(I127+S128)-AC128</f>
      </c>
      <c r="AN128" s="4">
        <f>(J127+T128)-AD128</f>
      </c>
      <c r="AO128" s="4">
        <f>(K127+U128)-AE128</f>
      </c>
      <c r="AP128" s="4">
        <f>(L127+V128)-AF128</f>
      </c>
      <c r="AQ128" s="4">
        <f>(M127+W128)-AG128</f>
      </c>
      <c r="AR128" s="4">
        <f>(N127+X128)-AH128</f>
      </c>
      <c r="AS128" s="4">
        <f>(O127+Y128)-AI128</f>
      </c>
      <c r="AT128" s="4">
        <f>(P127+Z128)-AJ128</f>
      </c>
      <c r="AU128" s="4">
        <f>$B$16+SUM($K$5:$K$14)-SUM(AA128:AJ128)</f>
      </c>
      <c r="AV128" s="4">
        <f>AU128-BE128</f>
      </c>
      <c r="AW128" s="4">
        <f>AV128-BF128</f>
      </c>
      <c r="AX128" s="4">
        <f>AW128-BG128</f>
      </c>
      <c r="AY128" s="4">
        <f>AX128-BH128</f>
      </c>
      <c r="AZ128" s="4">
        <f>AY128-BI128</f>
      </c>
      <c r="BA128" s="4">
        <f>AZ128-BJ128</f>
      </c>
      <c r="BB128" s="4">
        <f>BA128-BK128</f>
      </c>
      <c r="BC128" s="4">
        <f>BB128-BL128</f>
      </c>
      <c r="BD128" s="4">
        <f>BC128-BM128</f>
      </c>
      <c r="BE128" s="4">
        <f>IF(G127&lt;=0,0,MIN(AU128,AK128))</f>
      </c>
      <c r="BF128" s="4">
        <f>IF(H127&lt;=0,0,MIN(AV128,AL128))</f>
      </c>
      <c r="BG128" s="4">
        <f>IF(I127&lt;=0,0,MIN(AW128,AM128))</f>
      </c>
      <c r="BH128" s="4">
        <f>IF(J127&lt;=0,0,MIN(AX128,AN128))</f>
      </c>
      <c r="BI128" s="4">
        <f>IF(K127&lt;=0,0,MIN(AY128,AO128))</f>
      </c>
      <c r="BJ128" s="4">
        <f>IF(L127&lt;=0,0,MIN(AZ128,AP128))</f>
      </c>
      <c r="BK128" s="4">
        <f>IF(M127&lt;=0,0,MIN(BA128,AQ128))</f>
      </c>
      <c r="BL128" s="4">
        <f>IF(N127&lt;=0,0,MIN(BB128,AR128))</f>
      </c>
      <c r="BM128" s="4">
        <f>IF(O127&lt;=0,0,MIN(BC128,AS128))</f>
      </c>
      <c r="BN128" s="4">
        <f>IF(P127&lt;=0,0,MIN(BD128,AT128))</f>
      </c>
    </row>
    <row r="129" spans="1:66" x14ac:dyDescent="0.25">
      <c r="A129">
        <v>102</v>
      </c>
      <c r="B129" s="7">
        <f>EDATE($B$17,102)</f>
      </c>
      <c r="C129" s="4">
        <f>SUM(G129:P129)</f>
      </c>
      <c r="D129" s="4">
        <f>SUM(Q129:Z129)</f>
      </c>
      <c r="E129" s="4">
        <f>SUM(AA129:AJ129)+SUM(BE129:BN129)</f>
      </c>
      <c r="G129" s="4">
        <f>MAX(0,AK129-BE129)</f>
      </c>
      <c r="H129" s="4">
        <f>MAX(0,AL129-BF129)</f>
      </c>
      <c r="I129" s="4">
        <f>MAX(0,AM129-BG129)</f>
      </c>
      <c r="J129" s="4">
        <f>MAX(0,AN129-BH129)</f>
      </c>
      <c r="K129" s="4">
        <f>MAX(0,AO129-BI129)</f>
      </c>
      <c r="L129" s="4">
        <f>MAX(0,AP129-BJ129)</f>
      </c>
      <c r="M129" s="4">
        <f>MAX(0,AQ129-BK129)</f>
      </c>
      <c r="N129" s="4">
        <f>MAX(0,AR129-BL129)</f>
      </c>
      <c r="O129" s="4">
        <f>MAX(0,AS129-BM129)</f>
      </c>
      <c r="P129" s="4">
        <f>MAX(0,AT129-BN129)</f>
      </c>
      <c r="Q129" s="4">
        <f>IF(G128&gt;0,G128*($J$5/100/12),0)</f>
      </c>
      <c r="R129" s="4">
        <f>IF(H128&gt;0,H128*($J$6/100/12),0)</f>
      </c>
      <c r="S129" s="4">
        <f>IF(I128&gt;0,I128*($J$7/100/12),0)</f>
      </c>
      <c r="T129" s="4">
        <f>IF(J128&gt;0,J128*($J$8/100/12),0)</f>
      </c>
      <c r="U129" s="4">
        <f>IF(K128&gt;0,K128*($J$9/100/12),0)</f>
      </c>
      <c r="V129" s="4">
        <f>IF(L128&gt;0,L128*($J$10/100/12),0)</f>
      </c>
      <c r="W129" s="4">
        <f>IF(M128&gt;0,M128*($J$11/100/12),0)</f>
      </c>
      <c r="X129" s="4">
        <f>IF(N128&gt;0,N128*($J$12/100/12),0)</f>
      </c>
      <c r="Y129" s="4">
        <f>IF(O128&gt;0,O128*($J$13/100/12),0)</f>
      </c>
      <c r="Z129" s="4">
        <f>IF(P128&gt;0,P128*($J$14/100/12),0)</f>
      </c>
      <c r="AA129" s="4">
        <f>IF(G128&lt;=0,0,MIN($K$5,(G128+Q129)))</f>
      </c>
      <c r="AB129" s="4">
        <f>IF(H128&lt;=0,0,MIN($K$6,(H128+R129)))</f>
      </c>
      <c r="AC129" s="4">
        <f>IF(I128&lt;=0,0,MIN($K$7,(I128+S129)))</f>
      </c>
      <c r="AD129" s="4">
        <f>IF(J128&lt;=0,0,MIN($K$8,(J128+T129)))</f>
      </c>
      <c r="AE129" s="4">
        <f>IF(K128&lt;=0,0,MIN($K$9,(K128+U129)))</f>
      </c>
      <c r="AF129" s="4">
        <f>IF(L128&lt;=0,0,MIN($K$10,(L128+V129)))</f>
      </c>
      <c r="AG129" s="4">
        <f>IF(M128&lt;=0,0,MIN($K$11,(M128+W129)))</f>
      </c>
      <c r="AH129" s="4">
        <f>IF(N128&lt;=0,0,MIN($K$12,(N128+X129)))</f>
      </c>
      <c r="AI129" s="4">
        <f>IF(O128&lt;=0,0,MIN($K$13,(O128+Y129)))</f>
      </c>
      <c r="AJ129" s="4">
        <f>IF(P128&lt;=0,0,MIN($K$14,(P128+Z129)))</f>
      </c>
      <c r="AK129" s="4">
        <f>(G128+Q129)-AA129</f>
      </c>
      <c r="AL129" s="4">
        <f>(H128+R129)-AB129</f>
      </c>
      <c r="AM129" s="4">
        <f>(I128+S129)-AC129</f>
      </c>
      <c r="AN129" s="4">
        <f>(J128+T129)-AD129</f>
      </c>
      <c r="AO129" s="4">
        <f>(K128+U129)-AE129</f>
      </c>
      <c r="AP129" s="4">
        <f>(L128+V129)-AF129</f>
      </c>
      <c r="AQ129" s="4">
        <f>(M128+W129)-AG129</f>
      </c>
      <c r="AR129" s="4">
        <f>(N128+X129)-AH129</f>
      </c>
      <c r="AS129" s="4">
        <f>(O128+Y129)-AI129</f>
      </c>
      <c r="AT129" s="4">
        <f>(P128+Z129)-AJ129</f>
      </c>
      <c r="AU129" s="4">
        <f>$B$16+SUM($K$5:$K$14)-SUM(AA129:AJ129)</f>
      </c>
      <c r="AV129" s="4">
        <f>AU129-BE129</f>
      </c>
      <c r="AW129" s="4">
        <f>AV129-BF129</f>
      </c>
      <c r="AX129" s="4">
        <f>AW129-BG129</f>
      </c>
      <c r="AY129" s="4">
        <f>AX129-BH129</f>
      </c>
      <c r="AZ129" s="4">
        <f>AY129-BI129</f>
      </c>
      <c r="BA129" s="4">
        <f>AZ129-BJ129</f>
      </c>
      <c r="BB129" s="4">
        <f>BA129-BK129</f>
      </c>
      <c r="BC129" s="4">
        <f>BB129-BL129</f>
      </c>
      <c r="BD129" s="4">
        <f>BC129-BM129</f>
      </c>
      <c r="BE129" s="4">
        <f>IF(G128&lt;=0,0,MIN(AU129,AK129))</f>
      </c>
      <c r="BF129" s="4">
        <f>IF(H128&lt;=0,0,MIN(AV129,AL129))</f>
      </c>
      <c r="BG129" s="4">
        <f>IF(I128&lt;=0,0,MIN(AW129,AM129))</f>
      </c>
      <c r="BH129" s="4">
        <f>IF(J128&lt;=0,0,MIN(AX129,AN129))</f>
      </c>
      <c r="BI129" s="4">
        <f>IF(K128&lt;=0,0,MIN(AY129,AO129))</f>
      </c>
      <c r="BJ129" s="4">
        <f>IF(L128&lt;=0,0,MIN(AZ129,AP129))</f>
      </c>
      <c r="BK129" s="4">
        <f>IF(M128&lt;=0,0,MIN(BA129,AQ129))</f>
      </c>
      <c r="BL129" s="4">
        <f>IF(N128&lt;=0,0,MIN(BB129,AR129))</f>
      </c>
      <c r="BM129" s="4">
        <f>IF(O128&lt;=0,0,MIN(BC129,AS129))</f>
      </c>
      <c r="BN129" s="4">
        <f>IF(P128&lt;=0,0,MIN(BD129,AT129))</f>
      </c>
    </row>
    <row r="130" spans="1:66" x14ac:dyDescent="0.25">
      <c r="A130">
        <v>103</v>
      </c>
      <c r="B130" s="7">
        <f>EDATE($B$17,103)</f>
      </c>
      <c r="C130" s="4">
        <f>SUM(G130:P130)</f>
      </c>
      <c r="D130" s="4">
        <f>SUM(Q130:Z130)</f>
      </c>
      <c r="E130" s="4">
        <f>SUM(AA130:AJ130)+SUM(BE130:BN130)</f>
      </c>
      <c r="G130" s="4">
        <f>MAX(0,AK130-BE130)</f>
      </c>
      <c r="H130" s="4">
        <f>MAX(0,AL130-BF130)</f>
      </c>
      <c r="I130" s="4">
        <f>MAX(0,AM130-BG130)</f>
      </c>
      <c r="J130" s="4">
        <f>MAX(0,AN130-BH130)</f>
      </c>
      <c r="K130" s="4">
        <f>MAX(0,AO130-BI130)</f>
      </c>
      <c r="L130" s="4">
        <f>MAX(0,AP130-BJ130)</f>
      </c>
      <c r="M130" s="4">
        <f>MAX(0,AQ130-BK130)</f>
      </c>
      <c r="N130" s="4">
        <f>MAX(0,AR130-BL130)</f>
      </c>
      <c r="O130" s="4">
        <f>MAX(0,AS130-BM130)</f>
      </c>
      <c r="P130" s="4">
        <f>MAX(0,AT130-BN130)</f>
      </c>
      <c r="Q130" s="4">
        <f>IF(G129&gt;0,G129*($J$5/100/12),0)</f>
      </c>
      <c r="R130" s="4">
        <f>IF(H129&gt;0,H129*($J$6/100/12),0)</f>
      </c>
      <c r="S130" s="4">
        <f>IF(I129&gt;0,I129*($J$7/100/12),0)</f>
      </c>
      <c r="T130" s="4">
        <f>IF(J129&gt;0,J129*($J$8/100/12),0)</f>
      </c>
      <c r="U130" s="4">
        <f>IF(K129&gt;0,K129*($J$9/100/12),0)</f>
      </c>
      <c r="V130" s="4">
        <f>IF(L129&gt;0,L129*($J$10/100/12),0)</f>
      </c>
      <c r="W130" s="4">
        <f>IF(M129&gt;0,M129*($J$11/100/12),0)</f>
      </c>
      <c r="X130" s="4">
        <f>IF(N129&gt;0,N129*($J$12/100/12),0)</f>
      </c>
      <c r="Y130" s="4">
        <f>IF(O129&gt;0,O129*($J$13/100/12),0)</f>
      </c>
      <c r="Z130" s="4">
        <f>IF(P129&gt;0,P129*($J$14/100/12),0)</f>
      </c>
      <c r="AA130" s="4">
        <f>IF(G129&lt;=0,0,MIN($K$5,(G129+Q130)))</f>
      </c>
      <c r="AB130" s="4">
        <f>IF(H129&lt;=0,0,MIN($K$6,(H129+R130)))</f>
      </c>
      <c r="AC130" s="4">
        <f>IF(I129&lt;=0,0,MIN($K$7,(I129+S130)))</f>
      </c>
      <c r="AD130" s="4">
        <f>IF(J129&lt;=0,0,MIN($K$8,(J129+T130)))</f>
      </c>
      <c r="AE130" s="4">
        <f>IF(K129&lt;=0,0,MIN($K$9,(K129+U130)))</f>
      </c>
      <c r="AF130" s="4">
        <f>IF(L129&lt;=0,0,MIN($K$10,(L129+V130)))</f>
      </c>
      <c r="AG130" s="4">
        <f>IF(M129&lt;=0,0,MIN($K$11,(M129+W130)))</f>
      </c>
      <c r="AH130" s="4">
        <f>IF(N129&lt;=0,0,MIN($K$12,(N129+X130)))</f>
      </c>
      <c r="AI130" s="4">
        <f>IF(O129&lt;=0,0,MIN($K$13,(O129+Y130)))</f>
      </c>
      <c r="AJ130" s="4">
        <f>IF(P129&lt;=0,0,MIN($K$14,(P129+Z130)))</f>
      </c>
      <c r="AK130" s="4">
        <f>(G129+Q130)-AA130</f>
      </c>
      <c r="AL130" s="4">
        <f>(H129+R130)-AB130</f>
      </c>
      <c r="AM130" s="4">
        <f>(I129+S130)-AC130</f>
      </c>
      <c r="AN130" s="4">
        <f>(J129+T130)-AD130</f>
      </c>
      <c r="AO130" s="4">
        <f>(K129+U130)-AE130</f>
      </c>
      <c r="AP130" s="4">
        <f>(L129+V130)-AF130</f>
      </c>
      <c r="AQ130" s="4">
        <f>(M129+W130)-AG130</f>
      </c>
      <c r="AR130" s="4">
        <f>(N129+X130)-AH130</f>
      </c>
      <c r="AS130" s="4">
        <f>(O129+Y130)-AI130</f>
      </c>
      <c r="AT130" s="4">
        <f>(P129+Z130)-AJ130</f>
      </c>
      <c r="AU130" s="4">
        <f>$B$16+SUM($K$5:$K$14)-SUM(AA130:AJ130)</f>
      </c>
      <c r="AV130" s="4">
        <f>AU130-BE130</f>
      </c>
      <c r="AW130" s="4">
        <f>AV130-BF130</f>
      </c>
      <c r="AX130" s="4">
        <f>AW130-BG130</f>
      </c>
      <c r="AY130" s="4">
        <f>AX130-BH130</f>
      </c>
      <c r="AZ130" s="4">
        <f>AY130-BI130</f>
      </c>
      <c r="BA130" s="4">
        <f>AZ130-BJ130</f>
      </c>
      <c r="BB130" s="4">
        <f>BA130-BK130</f>
      </c>
      <c r="BC130" s="4">
        <f>BB130-BL130</f>
      </c>
      <c r="BD130" s="4">
        <f>BC130-BM130</f>
      </c>
      <c r="BE130" s="4">
        <f>IF(G129&lt;=0,0,MIN(AU130,AK130))</f>
      </c>
      <c r="BF130" s="4">
        <f>IF(H129&lt;=0,0,MIN(AV130,AL130))</f>
      </c>
      <c r="BG130" s="4">
        <f>IF(I129&lt;=0,0,MIN(AW130,AM130))</f>
      </c>
      <c r="BH130" s="4">
        <f>IF(J129&lt;=0,0,MIN(AX130,AN130))</f>
      </c>
      <c r="BI130" s="4">
        <f>IF(K129&lt;=0,0,MIN(AY130,AO130))</f>
      </c>
      <c r="BJ130" s="4">
        <f>IF(L129&lt;=0,0,MIN(AZ130,AP130))</f>
      </c>
      <c r="BK130" s="4">
        <f>IF(M129&lt;=0,0,MIN(BA130,AQ130))</f>
      </c>
      <c r="BL130" s="4">
        <f>IF(N129&lt;=0,0,MIN(BB130,AR130))</f>
      </c>
      <c r="BM130" s="4">
        <f>IF(O129&lt;=0,0,MIN(BC130,AS130))</f>
      </c>
      <c r="BN130" s="4">
        <f>IF(P129&lt;=0,0,MIN(BD130,AT130))</f>
      </c>
    </row>
    <row r="131" spans="1:66" x14ac:dyDescent="0.25">
      <c r="A131">
        <v>104</v>
      </c>
      <c r="B131" s="7">
        <f>EDATE($B$17,104)</f>
      </c>
      <c r="C131" s="4">
        <f>SUM(G131:P131)</f>
      </c>
      <c r="D131" s="4">
        <f>SUM(Q131:Z131)</f>
      </c>
      <c r="E131" s="4">
        <f>SUM(AA131:AJ131)+SUM(BE131:BN131)</f>
      </c>
      <c r="G131" s="4">
        <f>MAX(0,AK131-BE131)</f>
      </c>
      <c r="H131" s="4">
        <f>MAX(0,AL131-BF131)</f>
      </c>
      <c r="I131" s="4">
        <f>MAX(0,AM131-BG131)</f>
      </c>
      <c r="J131" s="4">
        <f>MAX(0,AN131-BH131)</f>
      </c>
      <c r="K131" s="4">
        <f>MAX(0,AO131-BI131)</f>
      </c>
      <c r="L131" s="4">
        <f>MAX(0,AP131-BJ131)</f>
      </c>
      <c r="M131" s="4">
        <f>MAX(0,AQ131-BK131)</f>
      </c>
      <c r="N131" s="4">
        <f>MAX(0,AR131-BL131)</f>
      </c>
      <c r="O131" s="4">
        <f>MAX(0,AS131-BM131)</f>
      </c>
      <c r="P131" s="4">
        <f>MAX(0,AT131-BN131)</f>
      </c>
      <c r="Q131" s="4">
        <f>IF(G130&gt;0,G130*($J$5/100/12),0)</f>
      </c>
      <c r="R131" s="4">
        <f>IF(H130&gt;0,H130*($J$6/100/12),0)</f>
      </c>
      <c r="S131" s="4">
        <f>IF(I130&gt;0,I130*($J$7/100/12),0)</f>
      </c>
      <c r="T131" s="4">
        <f>IF(J130&gt;0,J130*($J$8/100/12),0)</f>
      </c>
      <c r="U131" s="4">
        <f>IF(K130&gt;0,K130*($J$9/100/12),0)</f>
      </c>
      <c r="V131" s="4">
        <f>IF(L130&gt;0,L130*($J$10/100/12),0)</f>
      </c>
      <c r="W131" s="4">
        <f>IF(M130&gt;0,M130*($J$11/100/12),0)</f>
      </c>
      <c r="X131" s="4">
        <f>IF(N130&gt;0,N130*($J$12/100/12),0)</f>
      </c>
      <c r="Y131" s="4">
        <f>IF(O130&gt;0,O130*($J$13/100/12),0)</f>
      </c>
      <c r="Z131" s="4">
        <f>IF(P130&gt;0,P130*($J$14/100/12),0)</f>
      </c>
      <c r="AA131" s="4">
        <f>IF(G130&lt;=0,0,MIN($K$5,(G130+Q131)))</f>
      </c>
      <c r="AB131" s="4">
        <f>IF(H130&lt;=0,0,MIN($K$6,(H130+R131)))</f>
      </c>
      <c r="AC131" s="4">
        <f>IF(I130&lt;=0,0,MIN($K$7,(I130+S131)))</f>
      </c>
      <c r="AD131" s="4">
        <f>IF(J130&lt;=0,0,MIN($K$8,(J130+T131)))</f>
      </c>
      <c r="AE131" s="4">
        <f>IF(K130&lt;=0,0,MIN($K$9,(K130+U131)))</f>
      </c>
      <c r="AF131" s="4">
        <f>IF(L130&lt;=0,0,MIN($K$10,(L130+V131)))</f>
      </c>
      <c r="AG131" s="4">
        <f>IF(M130&lt;=0,0,MIN($K$11,(M130+W131)))</f>
      </c>
      <c r="AH131" s="4">
        <f>IF(N130&lt;=0,0,MIN($K$12,(N130+X131)))</f>
      </c>
      <c r="AI131" s="4">
        <f>IF(O130&lt;=0,0,MIN($K$13,(O130+Y131)))</f>
      </c>
      <c r="AJ131" s="4">
        <f>IF(P130&lt;=0,0,MIN($K$14,(P130+Z131)))</f>
      </c>
      <c r="AK131" s="4">
        <f>(G130+Q131)-AA131</f>
      </c>
      <c r="AL131" s="4">
        <f>(H130+R131)-AB131</f>
      </c>
      <c r="AM131" s="4">
        <f>(I130+S131)-AC131</f>
      </c>
      <c r="AN131" s="4">
        <f>(J130+T131)-AD131</f>
      </c>
      <c r="AO131" s="4">
        <f>(K130+U131)-AE131</f>
      </c>
      <c r="AP131" s="4">
        <f>(L130+V131)-AF131</f>
      </c>
      <c r="AQ131" s="4">
        <f>(M130+W131)-AG131</f>
      </c>
      <c r="AR131" s="4">
        <f>(N130+X131)-AH131</f>
      </c>
      <c r="AS131" s="4">
        <f>(O130+Y131)-AI131</f>
      </c>
      <c r="AT131" s="4">
        <f>(P130+Z131)-AJ131</f>
      </c>
      <c r="AU131" s="4">
        <f>$B$16+SUM($K$5:$K$14)-SUM(AA131:AJ131)</f>
      </c>
      <c r="AV131" s="4">
        <f>AU131-BE131</f>
      </c>
      <c r="AW131" s="4">
        <f>AV131-BF131</f>
      </c>
      <c r="AX131" s="4">
        <f>AW131-BG131</f>
      </c>
      <c r="AY131" s="4">
        <f>AX131-BH131</f>
      </c>
      <c r="AZ131" s="4">
        <f>AY131-BI131</f>
      </c>
      <c r="BA131" s="4">
        <f>AZ131-BJ131</f>
      </c>
      <c r="BB131" s="4">
        <f>BA131-BK131</f>
      </c>
      <c r="BC131" s="4">
        <f>BB131-BL131</f>
      </c>
      <c r="BD131" s="4">
        <f>BC131-BM131</f>
      </c>
      <c r="BE131" s="4">
        <f>IF(G130&lt;=0,0,MIN(AU131,AK131))</f>
      </c>
      <c r="BF131" s="4">
        <f>IF(H130&lt;=0,0,MIN(AV131,AL131))</f>
      </c>
      <c r="BG131" s="4">
        <f>IF(I130&lt;=0,0,MIN(AW131,AM131))</f>
      </c>
      <c r="BH131" s="4">
        <f>IF(J130&lt;=0,0,MIN(AX131,AN131))</f>
      </c>
      <c r="BI131" s="4">
        <f>IF(K130&lt;=0,0,MIN(AY131,AO131))</f>
      </c>
      <c r="BJ131" s="4">
        <f>IF(L130&lt;=0,0,MIN(AZ131,AP131))</f>
      </c>
      <c r="BK131" s="4">
        <f>IF(M130&lt;=0,0,MIN(BA131,AQ131))</f>
      </c>
      <c r="BL131" s="4">
        <f>IF(N130&lt;=0,0,MIN(BB131,AR131))</f>
      </c>
      <c r="BM131" s="4">
        <f>IF(O130&lt;=0,0,MIN(BC131,AS131))</f>
      </c>
      <c r="BN131" s="4">
        <f>IF(P130&lt;=0,0,MIN(BD131,AT131))</f>
      </c>
    </row>
    <row r="132" spans="1:66" x14ac:dyDescent="0.25">
      <c r="A132">
        <v>105</v>
      </c>
      <c r="B132" s="7">
        <f>EDATE($B$17,105)</f>
      </c>
      <c r="C132" s="4">
        <f>SUM(G132:P132)</f>
      </c>
      <c r="D132" s="4">
        <f>SUM(Q132:Z132)</f>
      </c>
      <c r="E132" s="4">
        <f>SUM(AA132:AJ132)+SUM(BE132:BN132)</f>
      </c>
      <c r="G132" s="4">
        <f>MAX(0,AK132-BE132)</f>
      </c>
      <c r="H132" s="4">
        <f>MAX(0,AL132-BF132)</f>
      </c>
      <c r="I132" s="4">
        <f>MAX(0,AM132-BG132)</f>
      </c>
      <c r="J132" s="4">
        <f>MAX(0,AN132-BH132)</f>
      </c>
      <c r="K132" s="4">
        <f>MAX(0,AO132-BI132)</f>
      </c>
      <c r="L132" s="4">
        <f>MAX(0,AP132-BJ132)</f>
      </c>
      <c r="M132" s="4">
        <f>MAX(0,AQ132-BK132)</f>
      </c>
      <c r="N132" s="4">
        <f>MAX(0,AR132-BL132)</f>
      </c>
      <c r="O132" s="4">
        <f>MAX(0,AS132-BM132)</f>
      </c>
      <c r="P132" s="4">
        <f>MAX(0,AT132-BN132)</f>
      </c>
      <c r="Q132" s="4">
        <f>IF(G131&gt;0,G131*($J$5/100/12),0)</f>
      </c>
      <c r="R132" s="4">
        <f>IF(H131&gt;0,H131*($J$6/100/12),0)</f>
      </c>
      <c r="S132" s="4">
        <f>IF(I131&gt;0,I131*($J$7/100/12),0)</f>
      </c>
      <c r="T132" s="4">
        <f>IF(J131&gt;0,J131*($J$8/100/12),0)</f>
      </c>
      <c r="U132" s="4">
        <f>IF(K131&gt;0,K131*($J$9/100/12),0)</f>
      </c>
      <c r="V132" s="4">
        <f>IF(L131&gt;0,L131*($J$10/100/12),0)</f>
      </c>
      <c r="W132" s="4">
        <f>IF(M131&gt;0,M131*($J$11/100/12),0)</f>
      </c>
      <c r="X132" s="4">
        <f>IF(N131&gt;0,N131*($J$12/100/12),0)</f>
      </c>
      <c r="Y132" s="4">
        <f>IF(O131&gt;0,O131*($J$13/100/12),0)</f>
      </c>
      <c r="Z132" s="4">
        <f>IF(P131&gt;0,P131*($J$14/100/12),0)</f>
      </c>
      <c r="AA132" s="4">
        <f>IF(G131&lt;=0,0,MIN($K$5,(G131+Q132)))</f>
      </c>
      <c r="AB132" s="4">
        <f>IF(H131&lt;=0,0,MIN($K$6,(H131+R132)))</f>
      </c>
      <c r="AC132" s="4">
        <f>IF(I131&lt;=0,0,MIN($K$7,(I131+S132)))</f>
      </c>
      <c r="AD132" s="4">
        <f>IF(J131&lt;=0,0,MIN($K$8,(J131+T132)))</f>
      </c>
      <c r="AE132" s="4">
        <f>IF(K131&lt;=0,0,MIN($K$9,(K131+U132)))</f>
      </c>
      <c r="AF132" s="4">
        <f>IF(L131&lt;=0,0,MIN($K$10,(L131+V132)))</f>
      </c>
      <c r="AG132" s="4">
        <f>IF(M131&lt;=0,0,MIN($K$11,(M131+W132)))</f>
      </c>
      <c r="AH132" s="4">
        <f>IF(N131&lt;=0,0,MIN($K$12,(N131+X132)))</f>
      </c>
      <c r="AI132" s="4">
        <f>IF(O131&lt;=0,0,MIN($K$13,(O131+Y132)))</f>
      </c>
      <c r="AJ132" s="4">
        <f>IF(P131&lt;=0,0,MIN($K$14,(P131+Z132)))</f>
      </c>
      <c r="AK132" s="4">
        <f>(G131+Q132)-AA132</f>
      </c>
      <c r="AL132" s="4">
        <f>(H131+R132)-AB132</f>
      </c>
      <c r="AM132" s="4">
        <f>(I131+S132)-AC132</f>
      </c>
      <c r="AN132" s="4">
        <f>(J131+T132)-AD132</f>
      </c>
      <c r="AO132" s="4">
        <f>(K131+U132)-AE132</f>
      </c>
      <c r="AP132" s="4">
        <f>(L131+V132)-AF132</f>
      </c>
      <c r="AQ132" s="4">
        <f>(M131+W132)-AG132</f>
      </c>
      <c r="AR132" s="4">
        <f>(N131+X132)-AH132</f>
      </c>
      <c r="AS132" s="4">
        <f>(O131+Y132)-AI132</f>
      </c>
      <c r="AT132" s="4">
        <f>(P131+Z132)-AJ132</f>
      </c>
      <c r="AU132" s="4">
        <f>$B$16+SUM($K$5:$K$14)-SUM(AA132:AJ132)</f>
      </c>
      <c r="AV132" s="4">
        <f>AU132-BE132</f>
      </c>
      <c r="AW132" s="4">
        <f>AV132-BF132</f>
      </c>
      <c r="AX132" s="4">
        <f>AW132-BG132</f>
      </c>
      <c r="AY132" s="4">
        <f>AX132-BH132</f>
      </c>
      <c r="AZ132" s="4">
        <f>AY132-BI132</f>
      </c>
      <c r="BA132" s="4">
        <f>AZ132-BJ132</f>
      </c>
      <c r="BB132" s="4">
        <f>BA132-BK132</f>
      </c>
      <c r="BC132" s="4">
        <f>BB132-BL132</f>
      </c>
      <c r="BD132" s="4">
        <f>BC132-BM132</f>
      </c>
      <c r="BE132" s="4">
        <f>IF(G131&lt;=0,0,MIN(AU132,AK132))</f>
      </c>
      <c r="BF132" s="4">
        <f>IF(H131&lt;=0,0,MIN(AV132,AL132))</f>
      </c>
      <c r="BG132" s="4">
        <f>IF(I131&lt;=0,0,MIN(AW132,AM132))</f>
      </c>
      <c r="BH132" s="4">
        <f>IF(J131&lt;=0,0,MIN(AX132,AN132))</f>
      </c>
      <c r="BI132" s="4">
        <f>IF(K131&lt;=0,0,MIN(AY132,AO132))</f>
      </c>
      <c r="BJ132" s="4">
        <f>IF(L131&lt;=0,0,MIN(AZ132,AP132))</f>
      </c>
      <c r="BK132" s="4">
        <f>IF(M131&lt;=0,0,MIN(BA132,AQ132))</f>
      </c>
      <c r="BL132" s="4">
        <f>IF(N131&lt;=0,0,MIN(BB132,AR132))</f>
      </c>
      <c r="BM132" s="4">
        <f>IF(O131&lt;=0,0,MIN(BC132,AS132))</f>
      </c>
      <c r="BN132" s="4">
        <f>IF(P131&lt;=0,0,MIN(BD132,AT132))</f>
      </c>
    </row>
    <row r="133" spans="1:66" x14ac:dyDescent="0.25">
      <c r="A133">
        <v>106</v>
      </c>
      <c r="B133" s="7">
        <f>EDATE($B$17,106)</f>
      </c>
      <c r="C133" s="4">
        <f>SUM(G133:P133)</f>
      </c>
      <c r="D133" s="4">
        <f>SUM(Q133:Z133)</f>
      </c>
      <c r="E133" s="4">
        <f>SUM(AA133:AJ133)+SUM(BE133:BN133)</f>
      </c>
      <c r="G133" s="4">
        <f>MAX(0,AK133-BE133)</f>
      </c>
      <c r="H133" s="4">
        <f>MAX(0,AL133-BF133)</f>
      </c>
      <c r="I133" s="4">
        <f>MAX(0,AM133-BG133)</f>
      </c>
      <c r="J133" s="4">
        <f>MAX(0,AN133-BH133)</f>
      </c>
      <c r="K133" s="4">
        <f>MAX(0,AO133-BI133)</f>
      </c>
      <c r="L133" s="4">
        <f>MAX(0,AP133-BJ133)</f>
      </c>
      <c r="M133" s="4">
        <f>MAX(0,AQ133-BK133)</f>
      </c>
      <c r="N133" s="4">
        <f>MAX(0,AR133-BL133)</f>
      </c>
      <c r="O133" s="4">
        <f>MAX(0,AS133-BM133)</f>
      </c>
      <c r="P133" s="4">
        <f>MAX(0,AT133-BN133)</f>
      </c>
      <c r="Q133" s="4">
        <f>IF(G132&gt;0,G132*($J$5/100/12),0)</f>
      </c>
      <c r="R133" s="4">
        <f>IF(H132&gt;0,H132*($J$6/100/12),0)</f>
      </c>
      <c r="S133" s="4">
        <f>IF(I132&gt;0,I132*($J$7/100/12),0)</f>
      </c>
      <c r="T133" s="4">
        <f>IF(J132&gt;0,J132*($J$8/100/12),0)</f>
      </c>
      <c r="U133" s="4">
        <f>IF(K132&gt;0,K132*($J$9/100/12),0)</f>
      </c>
      <c r="V133" s="4">
        <f>IF(L132&gt;0,L132*($J$10/100/12),0)</f>
      </c>
      <c r="W133" s="4">
        <f>IF(M132&gt;0,M132*($J$11/100/12),0)</f>
      </c>
      <c r="X133" s="4">
        <f>IF(N132&gt;0,N132*($J$12/100/12),0)</f>
      </c>
      <c r="Y133" s="4">
        <f>IF(O132&gt;0,O132*($J$13/100/12),0)</f>
      </c>
      <c r="Z133" s="4">
        <f>IF(P132&gt;0,P132*($J$14/100/12),0)</f>
      </c>
      <c r="AA133" s="4">
        <f>IF(G132&lt;=0,0,MIN($K$5,(G132+Q133)))</f>
      </c>
      <c r="AB133" s="4">
        <f>IF(H132&lt;=0,0,MIN($K$6,(H132+R133)))</f>
      </c>
      <c r="AC133" s="4">
        <f>IF(I132&lt;=0,0,MIN($K$7,(I132+S133)))</f>
      </c>
      <c r="AD133" s="4">
        <f>IF(J132&lt;=0,0,MIN($K$8,(J132+T133)))</f>
      </c>
      <c r="AE133" s="4">
        <f>IF(K132&lt;=0,0,MIN($K$9,(K132+U133)))</f>
      </c>
      <c r="AF133" s="4">
        <f>IF(L132&lt;=0,0,MIN($K$10,(L132+V133)))</f>
      </c>
      <c r="AG133" s="4">
        <f>IF(M132&lt;=0,0,MIN($K$11,(M132+W133)))</f>
      </c>
      <c r="AH133" s="4">
        <f>IF(N132&lt;=0,0,MIN($K$12,(N132+X133)))</f>
      </c>
      <c r="AI133" s="4">
        <f>IF(O132&lt;=0,0,MIN($K$13,(O132+Y133)))</f>
      </c>
      <c r="AJ133" s="4">
        <f>IF(P132&lt;=0,0,MIN($K$14,(P132+Z133)))</f>
      </c>
      <c r="AK133" s="4">
        <f>(G132+Q133)-AA133</f>
      </c>
      <c r="AL133" s="4">
        <f>(H132+R133)-AB133</f>
      </c>
      <c r="AM133" s="4">
        <f>(I132+S133)-AC133</f>
      </c>
      <c r="AN133" s="4">
        <f>(J132+T133)-AD133</f>
      </c>
      <c r="AO133" s="4">
        <f>(K132+U133)-AE133</f>
      </c>
      <c r="AP133" s="4">
        <f>(L132+V133)-AF133</f>
      </c>
      <c r="AQ133" s="4">
        <f>(M132+W133)-AG133</f>
      </c>
      <c r="AR133" s="4">
        <f>(N132+X133)-AH133</f>
      </c>
      <c r="AS133" s="4">
        <f>(O132+Y133)-AI133</f>
      </c>
      <c r="AT133" s="4">
        <f>(P132+Z133)-AJ133</f>
      </c>
      <c r="AU133" s="4">
        <f>$B$16+SUM($K$5:$K$14)-SUM(AA133:AJ133)</f>
      </c>
      <c r="AV133" s="4">
        <f>AU133-BE133</f>
      </c>
      <c r="AW133" s="4">
        <f>AV133-BF133</f>
      </c>
      <c r="AX133" s="4">
        <f>AW133-BG133</f>
      </c>
      <c r="AY133" s="4">
        <f>AX133-BH133</f>
      </c>
      <c r="AZ133" s="4">
        <f>AY133-BI133</f>
      </c>
      <c r="BA133" s="4">
        <f>AZ133-BJ133</f>
      </c>
      <c r="BB133" s="4">
        <f>BA133-BK133</f>
      </c>
      <c r="BC133" s="4">
        <f>BB133-BL133</f>
      </c>
      <c r="BD133" s="4">
        <f>BC133-BM133</f>
      </c>
      <c r="BE133" s="4">
        <f>IF(G132&lt;=0,0,MIN(AU133,AK133))</f>
      </c>
      <c r="BF133" s="4">
        <f>IF(H132&lt;=0,0,MIN(AV133,AL133))</f>
      </c>
      <c r="BG133" s="4">
        <f>IF(I132&lt;=0,0,MIN(AW133,AM133))</f>
      </c>
      <c r="BH133" s="4">
        <f>IF(J132&lt;=0,0,MIN(AX133,AN133))</f>
      </c>
      <c r="BI133" s="4">
        <f>IF(K132&lt;=0,0,MIN(AY133,AO133))</f>
      </c>
      <c r="BJ133" s="4">
        <f>IF(L132&lt;=0,0,MIN(AZ133,AP133))</f>
      </c>
      <c r="BK133" s="4">
        <f>IF(M132&lt;=0,0,MIN(BA133,AQ133))</f>
      </c>
      <c r="BL133" s="4">
        <f>IF(N132&lt;=0,0,MIN(BB133,AR133))</f>
      </c>
      <c r="BM133" s="4">
        <f>IF(O132&lt;=0,0,MIN(BC133,AS133))</f>
      </c>
      <c r="BN133" s="4">
        <f>IF(P132&lt;=0,0,MIN(BD133,AT133))</f>
      </c>
    </row>
    <row r="134" spans="1:66" x14ac:dyDescent="0.25">
      <c r="A134">
        <v>107</v>
      </c>
      <c r="B134" s="7">
        <f>EDATE($B$17,107)</f>
      </c>
      <c r="C134" s="4">
        <f>SUM(G134:P134)</f>
      </c>
      <c r="D134" s="4">
        <f>SUM(Q134:Z134)</f>
      </c>
      <c r="E134" s="4">
        <f>SUM(AA134:AJ134)+SUM(BE134:BN134)</f>
      </c>
      <c r="G134" s="4">
        <f>MAX(0,AK134-BE134)</f>
      </c>
      <c r="H134" s="4">
        <f>MAX(0,AL134-BF134)</f>
      </c>
      <c r="I134" s="4">
        <f>MAX(0,AM134-BG134)</f>
      </c>
      <c r="J134" s="4">
        <f>MAX(0,AN134-BH134)</f>
      </c>
      <c r="K134" s="4">
        <f>MAX(0,AO134-BI134)</f>
      </c>
      <c r="L134" s="4">
        <f>MAX(0,AP134-BJ134)</f>
      </c>
      <c r="M134" s="4">
        <f>MAX(0,AQ134-BK134)</f>
      </c>
      <c r="N134" s="4">
        <f>MAX(0,AR134-BL134)</f>
      </c>
      <c r="O134" s="4">
        <f>MAX(0,AS134-BM134)</f>
      </c>
      <c r="P134" s="4">
        <f>MAX(0,AT134-BN134)</f>
      </c>
      <c r="Q134" s="4">
        <f>IF(G133&gt;0,G133*($J$5/100/12),0)</f>
      </c>
      <c r="R134" s="4">
        <f>IF(H133&gt;0,H133*($J$6/100/12),0)</f>
      </c>
      <c r="S134" s="4">
        <f>IF(I133&gt;0,I133*($J$7/100/12),0)</f>
      </c>
      <c r="T134" s="4">
        <f>IF(J133&gt;0,J133*($J$8/100/12),0)</f>
      </c>
      <c r="U134" s="4">
        <f>IF(K133&gt;0,K133*($J$9/100/12),0)</f>
      </c>
      <c r="V134" s="4">
        <f>IF(L133&gt;0,L133*($J$10/100/12),0)</f>
      </c>
      <c r="W134" s="4">
        <f>IF(M133&gt;0,M133*($J$11/100/12),0)</f>
      </c>
      <c r="X134" s="4">
        <f>IF(N133&gt;0,N133*($J$12/100/12),0)</f>
      </c>
      <c r="Y134" s="4">
        <f>IF(O133&gt;0,O133*($J$13/100/12),0)</f>
      </c>
      <c r="Z134" s="4">
        <f>IF(P133&gt;0,P133*($J$14/100/12),0)</f>
      </c>
      <c r="AA134" s="4">
        <f>IF(G133&lt;=0,0,MIN($K$5,(G133+Q134)))</f>
      </c>
      <c r="AB134" s="4">
        <f>IF(H133&lt;=0,0,MIN($K$6,(H133+R134)))</f>
      </c>
      <c r="AC134" s="4">
        <f>IF(I133&lt;=0,0,MIN($K$7,(I133+S134)))</f>
      </c>
      <c r="AD134" s="4">
        <f>IF(J133&lt;=0,0,MIN($K$8,(J133+T134)))</f>
      </c>
      <c r="AE134" s="4">
        <f>IF(K133&lt;=0,0,MIN($K$9,(K133+U134)))</f>
      </c>
      <c r="AF134" s="4">
        <f>IF(L133&lt;=0,0,MIN($K$10,(L133+V134)))</f>
      </c>
      <c r="AG134" s="4">
        <f>IF(M133&lt;=0,0,MIN($K$11,(M133+W134)))</f>
      </c>
      <c r="AH134" s="4">
        <f>IF(N133&lt;=0,0,MIN($K$12,(N133+X134)))</f>
      </c>
      <c r="AI134" s="4">
        <f>IF(O133&lt;=0,0,MIN($K$13,(O133+Y134)))</f>
      </c>
      <c r="AJ134" s="4">
        <f>IF(P133&lt;=0,0,MIN($K$14,(P133+Z134)))</f>
      </c>
      <c r="AK134" s="4">
        <f>(G133+Q134)-AA134</f>
      </c>
      <c r="AL134" s="4">
        <f>(H133+R134)-AB134</f>
      </c>
      <c r="AM134" s="4">
        <f>(I133+S134)-AC134</f>
      </c>
      <c r="AN134" s="4">
        <f>(J133+T134)-AD134</f>
      </c>
      <c r="AO134" s="4">
        <f>(K133+U134)-AE134</f>
      </c>
      <c r="AP134" s="4">
        <f>(L133+V134)-AF134</f>
      </c>
      <c r="AQ134" s="4">
        <f>(M133+W134)-AG134</f>
      </c>
      <c r="AR134" s="4">
        <f>(N133+X134)-AH134</f>
      </c>
      <c r="AS134" s="4">
        <f>(O133+Y134)-AI134</f>
      </c>
      <c r="AT134" s="4">
        <f>(P133+Z134)-AJ134</f>
      </c>
      <c r="AU134" s="4">
        <f>$B$16+SUM($K$5:$K$14)-SUM(AA134:AJ134)</f>
      </c>
      <c r="AV134" s="4">
        <f>AU134-BE134</f>
      </c>
      <c r="AW134" s="4">
        <f>AV134-BF134</f>
      </c>
      <c r="AX134" s="4">
        <f>AW134-BG134</f>
      </c>
      <c r="AY134" s="4">
        <f>AX134-BH134</f>
      </c>
      <c r="AZ134" s="4">
        <f>AY134-BI134</f>
      </c>
      <c r="BA134" s="4">
        <f>AZ134-BJ134</f>
      </c>
      <c r="BB134" s="4">
        <f>BA134-BK134</f>
      </c>
      <c r="BC134" s="4">
        <f>BB134-BL134</f>
      </c>
      <c r="BD134" s="4">
        <f>BC134-BM134</f>
      </c>
      <c r="BE134" s="4">
        <f>IF(G133&lt;=0,0,MIN(AU134,AK134))</f>
      </c>
      <c r="BF134" s="4">
        <f>IF(H133&lt;=0,0,MIN(AV134,AL134))</f>
      </c>
      <c r="BG134" s="4">
        <f>IF(I133&lt;=0,0,MIN(AW134,AM134))</f>
      </c>
      <c r="BH134" s="4">
        <f>IF(J133&lt;=0,0,MIN(AX134,AN134))</f>
      </c>
      <c r="BI134" s="4">
        <f>IF(K133&lt;=0,0,MIN(AY134,AO134))</f>
      </c>
      <c r="BJ134" s="4">
        <f>IF(L133&lt;=0,0,MIN(AZ134,AP134))</f>
      </c>
      <c r="BK134" s="4">
        <f>IF(M133&lt;=0,0,MIN(BA134,AQ134))</f>
      </c>
      <c r="BL134" s="4">
        <f>IF(N133&lt;=0,0,MIN(BB134,AR134))</f>
      </c>
      <c r="BM134" s="4">
        <f>IF(O133&lt;=0,0,MIN(BC134,AS134))</f>
      </c>
      <c r="BN134" s="4">
        <f>IF(P133&lt;=0,0,MIN(BD134,AT134))</f>
      </c>
    </row>
    <row r="135" spans="1:66" x14ac:dyDescent="0.25">
      <c r="A135">
        <v>108</v>
      </c>
      <c r="B135" s="7">
        <f>EDATE($B$17,108)</f>
      </c>
      <c r="C135" s="4">
        <f>SUM(G135:P135)</f>
      </c>
      <c r="D135" s="4">
        <f>SUM(Q135:Z135)</f>
      </c>
      <c r="E135" s="4">
        <f>SUM(AA135:AJ135)+SUM(BE135:BN135)</f>
      </c>
      <c r="G135" s="4">
        <f>MAX(0,AK135-BE135)</f>
      </c>
      <c r="H135" s="4">
        <f>MAX(0,AL135-BF135)</f>
      </c>
      <c r="I135" s="4">
        <f>MAX(0,AM135-BG135)</f>
      </c>
      <c r="J135" s="4">
        <f>MAX(0,AN135-BH135)</f>
      </c>
      <c r="K135" s="4">
        <f>MAX(0,AO135-BI135)</f>
      </c>
      <c r="L135" s="4">
        <f>MAX(0,AP135-BJ135)</f>
      </c>
      <c r="M135" s="4">
        <f>MAX(0,AQ135-BK135)</f>
      </c>
      <c r="N135" s="4">
        <f>MAX(0,AR135-BL135)</f>
      </c>
      <c r="O135" s="4">
        <f>MAX(0,AS135-BM135)</f>
      </c>
      <c r="P135" s="4">
        <f>MAX(0,AT135-BN135)</f>
      </c>
      <c r="Q135" s="4">
        <f>IF(G134&gt;0,G134*($J$5/100/12),0)</f>
      </c>
      <c r="R135" s="4">
        <f>IF(H134&gt;0,H134*($J$6/100/12),0)</f>
      </c>
      <c r="S135" s="4">
        <f>IF(I134&gt;0,I134*($J$7/100/12),0)</f>
      </c>
      <c r="T135" s="4">
        <f>IF(J134&gt;0,J134*($J$8/100/12),0)</f>
      </c>
      <c r="U135" s="4">
        <f>IF(K134&gt;0,K134*($J$9/100/12),0)</f>
      </c>
      <c r="V135" s="4">
        <f>IF(L134&gt;0,L134*($J$10/100/12),0)</f>
      </c>
      <c r="W135" s="4">
        <f>IF(M134&gt;0,M134*($J$11/100/12),0)</f>
      </c>
      <c r="X135" s="4">
        <f>IF(N134&gt;0,N134*($J$12/100/12),0)</f>
      </c>
      <c r="Y135" s="4">
        <f>IF(O134&gt;0,O134*($J$13/100/12),0)</f>
      </c>
      <c r="Z135" s="4">
        <f>IF(P134&gt;0,P134*($J$14/100/12),0)</f>
      </c>
      <c r="AA135" s="4">
        <f>IF(G134&lt;=0,0,MIN($K$5,(G134+Q135)))</f>
      </c>
      <c r="AB135" s="4">
        <f>IF(H134&lt;=0,0,MIN($K$6,(H134+R135)))</f>
      </c>
      <c r="AC135" s="4">
        <f>IF(I134&lt;=0,0,MIN($K$7,(I134+S135)))</f>
      </c>
      <c r="AD135" s="4">
        <f>IF(J134&lt;=0,0,MIN($K$8,(J134+T135)))</f>
      </c>
      <c r="AE135" s="4">
        <f>IF(K134&lt;=0,0,MIN($K$9,(K134+U135)))</f>
      </c>
      <c r="AF135" s="4">
        <f>IF(L134&lt;=0,0,MIN($K$10,(L134+V135)))</f>
      </c>
      <c r="AG135" s="4">
        <f>IF(M134&lt;=0,0,MIN($K$11,(M134+W135)))</f>
      </c>
      <c r="AH135" s="4">
        <f>IF(N134&lt;=0,0,MIN($K$12,(N134+X135)))</f>
      </c>
      <c r="AI135" s="4">
        <f>IF(O134&lt;=0,0,MIN($K$13,(O134+Y135)))</f>
      </c>
      <c r="AJ135" s="4">
        <f>IF(P134&lt;=0,0,MIN($K$14,(P134+Z135)))</f>
      </c>
      <c r="AK135" s="4">
        <f>(G134+Q135)-AA135</f>
      </c>
      <c r="AL135" s="4">
        <f>(H134+R135)-AB135</f>
      </c>
      <c r="AM135" s="4">
        <f>(I134+S135)-AC135</f>
      </c>
      <c r="AN135" s="4">
        <f>(J134+T135)-AD135</f>
      </c>
      <c r="AO135" s="4">
        <f>(K134+U135)-AE135</f>
      </c>
      <c r="AP135" s="4">
        <f>(L134+V135)-AF135</f>
      </c>
      <c r="AQ135" s="4">
        <f>(M134+W135)-AG135</f>
      </c>
      <c r="AR135" s="4">
        <f>(N134+X135)-AH135</f>
      </c>
      <c r="AS135" s="4">
        <f>(O134+Y135)-AI135</f>
      </c>
      <c r="AT135" s="4">
        <f>(P134+Z135)-AJ135</f>
      </c>
      <c r="AU135" s="4">
        <f>$B$16+SUM($K$5:$K$14)-SUM(AA135:AJ135)</f>
      </c>
      <c r="AV135" s="4">
        <f>AU135-BE135</f>
      </c>
      <c r="AW135" s="4">
        <f>AV135-BF135</f>
      </c>
      <c r="AX135" s="4">
        <f>AW135-BG135</f>
      </c>
      <c r="AY135" s="4">
        <f>AX135-BH135</f>
      </c>
      <c r="AZ135" s="4">
        <f>AY135-BI135</f>
      </c>
      <c r="BA135" s="4">
        <f>AZ135-BJ135</f>
      </c>
      <c r="BB135" s="4">
        <f>BA135-BK135</f>
      </c>
      <c r="BC135" s="4">
        <f>BB135-BL135</f>
      </c>
      <c r="BD135" s="4">
        <f>BC135-BM135</f>
      </c>
      <c r="BE135" s="4">
        <f>IF(G134&lt;=0,0,MIN(AU135,AK135))</f>
      </c>
      <c r="BF135" s="4">
        <f>IF(H134&lt;=0,0,MIN(AV135,AL135))</f>
      </c>
      <c r="BG135" s="4">
        <f>IF(I134&lt;=0,0,MIN(AW135,AM135))</f>
      </c>
      <c r="BH135" s="4">
        <f>IF(J134&lt;=0,0,MIN(AX135,AN135))</f>
      </c>
      <c r="BI135" s="4">
        <f>IF(K134&lt;=0,0,MIN(AY135,AO135))</f>
      </c>
      <c r="BJ135" s="4">
        <f>IF(L134&lt;=0,0,MIN(AZ135,AP135))</f>
      </c>
      <c r="BK135" s="4">
        <f>IF(M134&lt;=0,0,MIN(BA135,AQ135))</f>
      </c>
      <c r="BL135" s="4">
        <f>IF(N134&lt;=0,0,MIN(BB135,AR135))</f>
      </c>
      <c r="BM135" s="4">
        <f>IF(O134&lt;=0,0,MIN(BC135,AS135))</f>
      </c>
      <c r="BN135" s="4">
        <f>IF(P134&lt;=0,0,MIN(BD135,AT135))</f>
      </c>
    </row>
    <row r="136" spans="1:66" x14ac:dyDescent="0.25">
      <c r="A136">
        <v>109</v>
      </c>
      <c r="B136" s="7">
        <f>EDATE($B$17,109)</f>
      </c>
      <c r="C136" s="4">
        <f>SUM(G136:P136)</f>
      </c>
      <c r="D136" s="4">
        <f>SUM(Q136:Z136)</f>
      </c>
      <c r="E136" s="4">
        <f>SUM(AA136:AJ136)+SUM(BE136:BN136)</f>
      </c>
      <c r="G136" s="4">
        <f>MAX(0,AK136-BE136)</f>
      </c>
      <c r="H136" s="4">
        <f>MAX(0,AL136-BF136)</f>
      </c>
      <c r="I136" s="4">
        <f>MAX(0,AM136-BG136)</f>
      </c>
      <c r="J136" s="4">
        <f>MAX(0,AN136-BH136)</f>
      </c>
      <c r="K136" s="4">
        <f>MAX(0,AO136-BI136)</f>
      </c>
      <c r="L136" s="4">
        <f>MAX(0,AP136-BJ136)</f>
      </c>
      <c r="M136" s="4">
        <f>MAX(0,AQ136-BK136)</f>
      </c>
      <c r="N136" s="4">
        <f>MAX(0,AR136-BL136)</f>
      </c>
      <c r="O136" s="4">
        <f>MAX(0,AS136-BM136)</f>
      </c>
      <c r="P136" s="4">
        <f>MAX(0,AT136-BN136)</f>
      </c>
      <c r="Q136" s="4">
        <f>IF(G135&gt;0,G135*($J$5/100/12),0)</f>
      </c>
      <c r="R136" s="4">
        <f>IF(H135&gt;0,H135*($J$6/100/12),0)</f>
      </c>
      <c r="S136" s="4">
        <f>IF(I135&gt;0,I135*($J$7/100/12),0)</f>
      </c>
      <c r="T136" s="4">
        <f>IF(J135&gt;0,J135*($J$8/100/12),0)</f>
      </c>
      <c r="U136" s="4">
        <f>IF(K135&gt;0,K135*($J$9/100/12),0)</f>
      </c>
      <c r="V136" s="4">
        <f>IF(L135&gt;0,L135*($J$10/100/12),0)</f>
      </c>
      <c r="W136" s="4">
        <f>IF(M135&gt;0,M135*($J$11/100/12),0)</f>
      </c>
      <c r="X136" s="4">
        <f>IF(N135&gt;0,N135*($J$12/100/12),0)</f>
      </c>
      <c r="Y136" s="4">
        <f>IF(O135&gt;0,O135*($J$13/100/12),0)</f>
      </c>
      <c r="Z136" s="4">
        <f>IF(P135&gt;0,P135*($J$14/100/12),0)</f>
      </c>
      <c r="AA136" s="4">
        <f>IF(G135&lt;=0,0,MIN($K$5,(G135+Q136)))</f>
      </c>
      <c r="AB136" s="4">
        <f>IF(H135&lt;=0,0,MIN($K$6,(H135+R136)))</f>
      </c>
      <c r="AC136" s="4">
        <f>IF(I135&lt;=0,0,MIN($K$7,(I135+S136)))</f>
      </c>
      <c r="AD136" s="4">
        <f>IF(J135&lt;=0,0,MIN($K$8,(J135+T136)))</f>
      </c>
      <c r="AE136" s="4">
        <f>IF(K135&lt;=0,0,MIN($K$9,(K135+U136)))</f>
      </c>
      <c r="AF136" s="4">
        <f>IF(L135&lt;=0,0,MIN($K$10,(L135+V136)))</f>
      </c>
      <c r="AG136" s="4">
        <f>IF(M135&lt;=0,0,MIN($K$11,(M135+W136)))</f>
      </c>
      <c r="AH136" s="4">
        <f>IF(N135&lt;=0,0,MIN($K$12,(N135+X136)))</f>
      </c>
      <c r="AI136" s="4">
        <f>IF(O135&lt;=0,0,MIN($K$13,(O135+Y136)))</f>
      </c>
      <c r="AJ136" s="4">
        <f>IF(P135&lt;=0,0,MIN($K$14,(P135+Z136)))</f>
      </c>
      <c r="AK136" s="4">
        <f>(G135+Q136)-AA136</f>
      </c>
      <c r="AL136" s="4">
        <f>(H135+R136)-AB136</f>
      </c>
      <c r="AM136" s="4">
        <f>(I135+S136)-AC136</f>
      </c>
      <c r="AN136" s="4">
        <f>(J135+T136)-AD136</f>
      </c>
      <c r="AO136" s="4">
        <f>(K135+U136)-AE136</f>
      </c>
      <c r="AP136" s="4">
        <f>(L135+V136)-AF136</f>
      </c>
      <c r="AQ136" s="4">
        <f>(M135+W136)-AG136</f>
      </c>
      <c r="AR136" s="4">
        <f>(N135+X136)-AH136</f>
      </c>
      <c r="AS136" s="4">
        <f>(O135+Y136)-AI136</f>
      </c>
      <c r="AT136" s="4">
        <f>(P135+Z136)-AJ136</f>
      </c>
      <c r="AU136" s="4">
        <f>$B$16+SUM($K$5:$K$14)-SUM(AA136:AJ136)</f>
      </c>
      <c r="AV136" s="4">
        <f>AU136-BE136</f>
      </c>
      <c r="AW136" s="4">
        <f>AV136-BF136</f>
      </c>
      <c r="AX136" s="4">
        <f>AW136-BG136</f>
      </c>
      <c r="AY136" s="4">
        <f>AX136-BH136</f>
      </c>
      <c r="AZ136" s="4">
        <f>AY136-BI136</f>
      </c>
      <c r="BA136" s="4">
        <f>AZ136-BJ136</f>
      </c>
      <c r="BB136" s="4">
        <f>BA136-BK136</f>
      </c>
      <c r="BC136" s="4">
        <f>BB136-BL136</f>
      </c>
      <c r="BD136" s="4">
        <f>BC136-BM136</f>
      </c>
      <c r="BE136" s="4">
        <f>IF(G135&lt;=0,0,MIN(AU136,AK136))</f>
      </c>
      <c r="BF136" s="4">
        <f>IF(H135&lt;=0,0,MIN(AV136,AL136))</f>
      </c>
      <c r="BG136" s="4">
        <f>IF(I135&lt;=0,0,MIN(AW136,AM136))</f>
      </c>
      <c r="BH136" s="4">
        <f>IF(J135&lt;=0,0,MIN(AX136,AN136))</f>
      </c>
      <c r="BI136" s="4">
        <f>IF(K135&lt;=0,0,MIN(AY136,AO136))</f>
      </c>
      <c r="BJ136" s="4">
        <f>IF(L135&lt;=0,0,MIN(AZ136,AP136))</f>
      </c>
      <c r="BK136" s="4">
        <f>IF(M135&lt;=0,0,MIN(BA136,AQ136))</f>
      </c>
      <c r="BL136" s="4">
        <f>IF(N135&lt;=0,0,MIN(BB136,AR136))</f>
      </c>
      <c r="BM136" s="4">
        <f>IF(O135&lt;=0,0,MIN(BC136,AS136))</f>
      </c>
      <c r="BN136" s="4">
        <f>IF(P135&lt;=0,0,MIN(BD136,AT136))</f>
      </c>
    </row>
    <row r="137" spans="1:66" x14ac:dyDescent="0.25">
      <c r="A137">
        <v>110</v>
      </c>
      <c r="B137" s="7">
        <f>EDATE($B$17,110)</f>
      </c>
      <c r="C137" s="4">
        <f>SUM(G137:P137)</f>
      </c>
      <c r="D137" s="4">
        <f>SUM(Q137:Z137)</f>
      </c>
      <c r="E137" s="4">
        <f>SUM(AA137:AJ137)+SUM(BE137:BN137)</f>
      </c>
      <c r="G137" s="4">
        <f>MAX(0,AK137-BE137)</f>
      </c>
      <c r="H137" s="4">
        <f>MAX(0,AL137-BF137)</f>
      </c>
      <c r="I137" s="4">
        <f>MAX(0,AM137-BG137)</f>
      </c>
      <c r="J137" s="4">
        <f>MAX(0,AN137-BH137)</f>
      </c>
      <c r="K137" s="4">
        <f>MAX(0,AO137-BI137)</f>
      </c>
      <c r="L137" s="4">
        <f>MAX(0,AP137-BJ137)</f>
      </c>
      <c r="M137" s="4">
        <f>MAX(0,AQ137-BK137)</f>
      </c>
      <c r="N137" s="4">
        <f>MAX(0,AR137-BL137)</f>
      </c>
      <c r="O137" s="4">
        <f>MAX(0,AS137-BM137)</f>
      </c>
      <c r="P137" s="4">
        <f>MAX(0,AT137-BN137)</f>
      </c>
      <c r="Q137" s="4">
        <f>IF(G136&gt;0,G136*($J$5/100/12),0)</f>
      </c>
      <c r="R137" s="4">
        <f>IF(H136&gt;0,H136*($J$6/100/12),0)</f>
      </c>
      <c r="S137" s="4">
        <f>IF(I136&gt;0,I136*($J$7/100/12),0)</f>
      </c>
      <c r="T137" s="4">
        <f>IF(J136&gt;0,J136*($J$8/100/12),0)</f>
      </c>
      <c r="U137" s="4">
        <f>IF(K136&gt;0,K136*($J$9/100/12),0)</f>
      </c>
      <c r="V137" s="4">
        <f>IF(L136&gt;0,L136*($J$10/100/12),0)</f>
      </c>
      <c r="W137" s="4">
        <f>IF(M136&gt;0,M136*($J$11/100/12),0)</f>
      </c>
      <c r="X137" s="4">
        <f>IF(N136&gt;0,N136*($J$12/100/12),0)</f>
      </c>
      <c r="Y137" s="4">
        <f>IF(O136&gt;0,O136*($J$13/100/12),0)</f>
      </c>
      <c r="Z137" s="4">
        <f>IF(P136&gt;0,P136*($J$14/100/12),0)</f>
      </c>
      <c r="AA137" s="4">
        <f>IF(G136&lt;=0,0,MIN($K$5,(G136+Q137)))</f>
      </c>
      <c r="AB137" s="4">
        <f>IF(H136&lt;=0,0,MIN($K$6,(H136+R137)))</f>
      </c>
      <c r="AC137" s="4">
        <f>IF(I136&lt;=0,0,MIN($K$7,(I136+S137)))</f>
      </c>
      <c r="AD137" s="4">
        <f>IF(J136&lt;=0,0,MIN($K$8,(J136+T137)))</f>
      </c>
      <c r="AE137" s="4">
        <f>IF(K136&lt;=0,0,MIN($K$9,(K136+U137)))</f>
      </c>
      <c r="AF137" s="4">
        <f>IF(L136&lt;=0,0,MIN($K$10,(L136+V137)))</f>
      </c>
      <c r="AG137" s="4">
        <f>IF(M136&lt;=0,0,MIN($K$11,(M136+W137)))</f>
      </c>
      <c r="AH137" s="4">
        <f>IF(N136&lt;=0,0,MIN($K$12,(N136+X137)))</f>
      </c>
      <c r="AI137" s="4">
        <f>IF(O136&lt;=0,0,MIN($K$13,(O136+Y137)))</f>
      </c>
      <c r="AJ137" s="4">
        <f>IF(P136&lt;=0,0,MIN($K$14,(P136+Z137)))</f>
      </c>
      <c r="AK137" s="4">
        <f>(G136+Q137)-AA137</f>
      </c>
      <c r="AL137" s="4">
        <f>(H136+R137)-AB137</f>
      </c>
      <c r="AM137" s="4">
        <f>(I136+S137)-AC137</f>
      </c>
      <c r="AN137" s="4">
        <f>(J136+T137)-AD137</f>
      </c>
      <c r="AO137" s="4">
        <f>(K136+U137)-AE137</f>
      </c>
      <c r="AP137" s="4">
        <f>(L136+V137)-AF137</f>
      </c>
      <c r="AQ137" s="4">
        <f>(M136+W137)-AG137</f>
      </c>
      <c r="AR137" s="4">
        <f>(N136+X137)-AH137</f>
      </c>
      <c r="AS137" s="4">
        <f>(O136+Y137)-AI137</f>
      </c>
      <c r="AT137" s="4">
        <f>(P136+Z137)-AJ137</f>
      </c>
      <c r="AU137" s="4">
        <f>$B$16+SUM($K$5:$K$14)-SUM(AA137:AJ137)</f>
      </c>
      <c r="AV137" s="4">
        <f>AU137-BE137</f>
      </c>
      <c r="AW137" s="4">
        <f>AV137-BF137</f>
      </c>
      <c r="AX137" s="4">
        <f>AW137-BG137</f>
      </c>
      <c r="AY137" s="4">
        <f>AX137-BH137</f>
      </c>
      <c r="AZ137" s="4">
        <f>AY137-BI137</f>
      </c>
      <c r="BA137" s="4">
        <f>AZ137-BJ137</f>
      </c>
      <c r="BB137" s="4">
        <f>BA137-BK137</f>
      </c>
      <c r="BC137" s="4">
        <f>BB137-BL137</f>
      </c>
      <c r="BD137" s="4">
        <f>BC137-BM137</f>
      </c>
      <c r="BE137" s="4">
        <f>IF(G136&lt;=0,0,MIN(AU137,AK137))</f>
      </c>
      <c r="BF137" s="4">
        <f>IF(H136&lt;=0,0,MIN(AV137,AL137))</f>
      </c>
      <c r="BG137" s="4">
        <f>IF(I136&lt;=0,0,MIN(AW137,AM137))</f>
      </c>
      <c r="BH137" s="4">
        <f>IF(J136&lt;=0,0,MIN(AX137,AN137))</f>
      </c>
      <c r="BI137" s="4">
        <f>IF(K136&lt;=0,0,MIN(AY137,AO137))</f>
      </c>
      <c r="BJ137" s="4">
        <f>IF(L136&lt;=0,0,MIN(AZ137,AP137))</f>
      </c>
      <c r="BK137" s="4">
        <f>IF(M136&lt;=0,0,MIN(BA137,AQ137))</f>
      </c>
      <c r="BL137" s="4">
        <f>IF(N136&lt;=0,0,MIN(BB137,AR137))</f>
      </c>
      <c r="BM137" s="4">
        <f>IF(O136&lt;=0,0,MIN(BC137,AS137))</f>
      </c>
      <c r="BN137" s="4">
        <f>IF(P136&lt;=0,0,MIN(BD137,AT137))</f>
      </c>
    </row>
    <row r="138" spans="1:66" x14ac:dyDescent="0.25">
      <c r="A138">
        <v>111</v>
      </c>
      <c r="B138" s="7">
        <f>EDATE($B$17,111)</f>
      </c>
      <c r="C138" s="4">
        <f>SUM(G138:P138)</f>
      </c>
      <c r="D138" s="4">
        <f>SUM(Q138:Z138)</f>
      </c>
      <c r="E138" s="4">
        <f>SUM(AA138:AJ138)+SUM(BE138:BN138)</f>
      </c>
      <c r="G138" s="4">
        <f>MAX(0,AK138-BE138)</f>
      </c>
      <c r="H138" s="4">
        <f>MAX(0,AL138-BF138)</f>
      </c>
      <c r="I138" s="4">
        <f>MAX(0,AM138-BG138)</f>
      </c>
      <c r="J138" s="4">
        <f>MAX(0,AN138-BH138)</f>
      </c>
      <c r="K138" s="4">
        <f>MAX(0,AO138-BI138)</f>
      </c>
      <c r="L138" s="4">
        <f>MAX(0,AP138-BJ138)</f>
      </c>
      <c r="M138" s="4">
        <f>MAX(0,AQ138-BK138)</f>
      </c>
      <c r="N138" s="4">
        <f>MAX(0,AR138-BL138)</f>
      </c>
      <c r="O138" s="4">
        <f>MAX(0,AS138-BM138)</f>
      </c>
      <c r="P138" s="4">
        <f>MAX(0,AT138-BN138)</f>
      </c>
      <c r="Q138" s="4">
        <f>IF(G137&gt;0,G137*($J$5/100/12),0)</f>
      </c>
      <c r="R138" s="4">
        <f>IF(H137&gt;0,H137*($J$6/100/12),0)</f>
      </c>
      <c r="S138" s="4">
        <f>IF(I137&gt;0,I137*($J$7/100/12),0)</f>
      </c>
      <c r="T138" s="4">
        <f>IF(J137&gt;0,J137*($J$8/100/12),0)</f>
      </c>
      <c r="U138" s="4">
        <f>IF(K137&gt;0,K137*($J$9/100/12),0)</f>
      </c>
      <c r="V138" s="4">
        <f>IF(L137&gt;0,L137*($J$10/100/12),0)</f>
      </c>
      <c r="W138" s="4">
        <f>IF(M137&gt;0,M137*($J$11/100/12),0)</f>
      </c>
      <c r="X138" s="4">
        <f>IF(N137&gt;0,N137*($J$12/100/12),0)</f>
      </c>
      <c r="Y138" s="4">
        <f>IF(O137&gt;0,O137*($J$13/100/12),0)</f>
      </c>
      <c r="Z138" s="4">
        <f>IF(P137&gt;0,P137*($J$14/100/12),0)</f>
      </c>
      <c r="AA138" s="4">
        <f>IF(G137&lt;=0,0,MIN($K$5,(G137+Q138)))</f>
      </c>
      <c r="AB138" s="4">
        <f>IF(H137&lt;=0,0,MIN($K$6,(H137+R138)))</f>
      </c>
      <c r="AC138" s="4">
        <f>IF(I137&lt;=0,0,MIN($K$7,(I137+S138)))</f>
      </c>
      <c r="AD138" s="4">
        <f>IF(J137&lt;=0,0,MIN($K$8,(J137+T138)))</f>
      </c>
      <c r="AE138" s="4">
        <f>IF(K137&lt;=0,0,MIN($K$9,(K137+U138)))</f>
      </c>
      <c r="AF138" s="4">
        <f>IF(L137&lt;=0,0,MIN($K$10,(L137+V138)))</f>
      </c>
      <c r="AG138" s="4">
        <f>IF(M137&lt;=0,0,MIN($K$11,(M137+W138)))</f>
      </c>
      <c r="AH138" s="4">
        <f>IF(N137&lt;=0,0,MIN($K$12,(N137+X138)))</f>
      </c>
      <c r="AI138" s="4">
        <f>IF(O137&lt;=0,0,MIN($K$13,(O137+Y138)))</f>
      </c>
      <c r="AJ138" s="4">
        <f>IF(P137&lt;=0,0,MIN($K$14,(P137+Z138)))</f>
      </c>
      <c r="AK138" s="4">
        <f>(G137+Q138)-AA138</f>
      </c>
      <c r="AL138" s="4">
        <f>(H137+R138)-AB138</f>
      </c>
      <c r="AM138" s="4">
        <f>(I137+S138)-AC138</f>
      </c>
      <c r="AN138" s="4">
        <f>(J137+T138)-AD138</f>
      </c>
      <c r="AO138" s="4">
        <f>(K137+U138)-AE138</f>
      </c>
      <c r="AP138" s="4">
        <f>(L137+V138)-AF138</f>
      </c>
      <c r="AQ138" s="4">
        <f>(M137+W138)-AG138</f>
      </c>
      <c r="AR138" s="4">
        <f>(N137+X138)-AH138</f>
      </c>
      <c r="AS138" s="4">
        <f>(O137+Y138)-AI138</f>
      </c>
      <c r="AT138" s="4">
        <f>(P137+Z138)-AJ138</f>
      </c>
      <c r="AU138" s="4">
        <f>$B$16+SUM($K$5:$K$14)-SUM(AA138:AJ138)</f>
      </c>
      <c r="AV138" s="4">
        <f>AU138-BE138</f>
      </c>
      <c r="AW138" s="4">
        <f>AV138-BF138</f>
      </c>
      <c r="AX138" s="4">
        <f>AW138-BG138</f>
      </c>
      <c r="AY138" s="4">
        <f>AX138-BH138</f>
      </c>
      <c r="AZ138" s="4">
        <f>AY138-BI138</f>
      </c>
      <c r="BA138" s="4">
        <f>AZ138-BJ138</f>
      </c>
      <c r="BB138" s="4">
        <f>BA138-BK138</f>
      </c>
      <c r="BC138" s="4">
        <f>BB138-BL138</f>
      </c>
      <c r="BD138" s="4">
        <f>BC138-BM138</f>
      </c>
      <c r="BE138" s="4">
        <f>IF(G137&lt;=0,0,MIN(AU138,AK138))</f>
      </c>
      <c r="BF138" s="4">
        <f>IF(H137&lt;=0,0,MIN(AV138,AL138))</f>
      </c>
      <c r="BG138" s="4">
        <f>IF(I137&lt;=0,0,MIN(AW138,AM138))</f>
      </c>
      <c r="BH138" s="4">
        <f>IF(J137&lt;=0,0,MIN(AX138,AN138))</f>
      </c>
      <c r="BI138" s="4">
        <f>IF(K137&lt;=0,0,MIN(AY138,AO138))</f>
      </c>
      <c r="BJ138" s="4">
        <f>IF(L137&lt;=0,0,MIN(AZ138,AP138))</f>
      </c>
      <c r="BK138" s="4">
        <f>IF(M137&lt;=0,0,MIN(BA138,AQ138))</f>
      </c>
      <c r="BL138" s="4">
        <f>IF(N137&lt;=0,0,MIN(BB138,AR138))</f>
      </c>
      <c r="BM138" s="4">
        <f>IF(O137&lt;=0,0,MIN(BC138,AS138))</f>
      </c>
      <c r="BN138" s="4">
        <f>IF(P137&lt;=0,0,MIN(BD138,AT138))</f>
      </c>
    </row>
    <row r="139" spans="1:66" x14ac:dyDescent="0.25">
      <c r="A139">
        <v>112</v>
      </c>
      <c r="B139" s="7">
        <f>EDATE($B$17,112)</f>
      </c>
      <c r="C139" s="4">
        <f>SUM(G139:P139)</f>
      </c>
      <c r="D139" s="4">
        <f>SUM(Q139:Z139)</f>
      </c>
      <c r="E139" s="4">
        <f>SUM(AA139:AJ139)+SUM(BE139:BN139)</f>
      </c>
      <c r="G139" s="4">
        <f>MAX(0,AK139-BE139)</f>
      </c>
      <c r="H139" s="4">
        <f>MAX(0,AL139-BF139)</f>
      </c>
      <c r="I139" s="4">
        <f>MAX(0,AM139-BG139)</f>
      </c>
      <c r="J139" s="4">
        <f>MAX(0,AN139-BH139)</f>
      </c>
      <c r="K139" s="4">
        <f>MAX(0,AO139-BI139)</f>
      </c>
      <c r="L139" s="4">
        <f>MAX(0,AP139-BJ139)</f>
      </c>
      <c r="M139" s="4">
        <f>MAX(0,AQ139-BK139)</f>
      </c>
      <c r="N139" s="4">
        <f>MAX(0,AR139-BL139)</f>
      </c>
      <c r="O139" s="4">
        <f>MAX(0,AS139-BM139)</f>
      </c>
      <c r="P139" s="4">
        <f>MAX(0,AT139-BN139)</f>
      </c>
      <c r="Q139" s="4">
        <f>IF(G138&gt;0,G138*($J$5/100/12),0)</f>
      </c>
      <c r="R139" s="4">
        <f>IF(H138&gt;0,H138*($J$6/100/12),0)</f>
      </c>
      <c r="S139" s="4">
        <f>IF(I138&gt;0,I138*($J$7/100/12),0)</f>
      </c>
      <c r="T139" s="4">
        <f>IF(J138&gt;0,J138*($J$8/100/12),0)</f>
      </c>
      <c r="U139" s="4">
        <f>IF(K138&gt;0,K138*($J$9/100/12),0)</f>
      </c>
      <c r="V139" s="4">
        <f>IF(L138&gt;0,L138*($J$10/100/12),0)</f>
      </c>
      <c r="W139" s="4">
        <f>IF(M138&gt;0,M138*($J$11/100/12),0)</f>
      </c>
      <c r="X139" s="4">
        <f>IF(N138&gt;0,N138*($J$12/100/12),0)</f>
      </c>
      <c r="Y139" s="4">
        <f>IF(O138&gt;0,O138*($J$13/100/12),0)</f>
      </c>
      <c r="Z139" s="4">
        <f>IF(P138&gt;0,P138*($J$14/100/12),0)</f>
      </c>
      <c r="AA139" s="4">
        <f>IF(G138&lt;=0,0,MIN($K$5,(G138+Q139)))</f>
      </c>
      <c r="AB139" s="4">
        <f>IF(H138&lt;=0,0,MIN($K$6,(H138+R139)))</f>
      </c>
      <c r="AC139" s="4">
        <f>IF(I138&lt;=0,0,MIN($K$7,(I138+S139)))</f>
      </c>
      <c r="AD139" s="4">
        <f>IF(J138&lt;=0,0,MIN($K$8,(J138+T139)))</f>
      </c>
      <c r="AE139" s="4">
        <f>IF(K138&lt;=0,0,MIN($K$9,(K138+U139)))</f>
      </c>
      <c r="AF139" s="4">
        <f>IF(L138&lt;=0,0,MIN($K$10,(L138+V139)))</f>
      </c>
      <c r="AG139" s="4">
        <f>IF(M138&lt;=0,0,MIN($K$11,(M138+W139)))</f>
      </c>
      <c r="AH139" s="4">
        <f>IF(N138&lt;=0,0,MIN($K$12,(N138+X139)))</f>
      </c>
      <c r="AI139" s="4">
        <f>IF(O138&lt;=0,0,MIN($K$13,(O138+Y139)))</f>
      </c>
      <c r="AJ139" s="4">
        <f>IF(P138&lt;=0,0,MIN($K$14,(P138+Z139)))</f>
      </c>
      <c r="AK139" s="4">
        <f>(G138+Q139)-AA139</f>
      </c>
      <c r="AL139" s="4">
        <f>(H138+R139)-AB139</f>
      </c>
      <c r="AM139" s="4">
        <f>(I138+S139)-AC139</f>
      </c>
      <c r="AN139" s="4">
        <f>(J138+T139)-AD139</f>
      </c>
      <c r="AO139" s="4">
        <f>(K138+U139)-AE139</f>
      </c>
      <c r="AP139" s="4">
        <f>(L138+V139)-AF139</f>
      </c>
      <c r="AQ139" s="4">
        <f>(M138+W139)-AG139</f>
      </c>
      <c r="AR139" s="4">
        <f>(N138+X139)-AH139</f>
      </c>
      <c r="AS139" s="4">
        <f>(O138+Y139)-AI139</f>
      </c>
      <c r="AT139" s="4">
        <f>(P138+Z139)-AJ139</f>
      </c>
      <c r="AU139" s="4">
        <f>$B$16+SUM($K$5:$K$14)-SUM(AA139:AJ139)</f>
      </c>
      <c r="AV139" s="4">
        <f>AU139-BE139</f>
      </c>
      <c r="AW139" s="4">
        <f>AV139-BF139</f>
      </c>
      <c r="AX139" s="4">
        <f>AW139-BG139</f>
      </c>
      <c r="AY139" s="4">
        <f>AX139-BH139</f>
      </c>
      <c r="AZ139" s="4">
        <f>AY139-BI139</f>
      </c>
      <c r="BA139" s="4">
        <f>AZ139-BJ139</f>
      </c>
      <c r="BB139" s="4">
        <f>BA139-BK139</f>
      </c>
      <c r="BC139" s="4">
        <f>BB139-BL139</f>
      </c>
      <c r="BD139" s="4">
        <f>BC139-BM139</f>
      </c>
      <c r="BE139" s="4">
        <f>IF(G138&lt;=0,0,MIN(AU139,AK139))</f>
      </c>
      <c r="BF139" s="4">
        <f>IF(H138&lt;=0,0,MIN(AV139,AL139))</f>
      </c>
      <c r="BG139" s="4">
        <f>IF(I138&lt;=0,0,MIN(AW139,AM139))</f>
      </c>
      <c r="BH139" s="4">
        <f>IF(J138&lt;=0,0,MIN(AX139,AN139))</f>
      </c>
      <c r="BI139" s="4">
        <f>IF(K138&lt;=0,0,MIN(AY139,AO139))</f>
      </c>
      <c r="BJ139" s="4">
        <f>IF(L138&lt;=0,0,MIN(AZ139,AP139))</f>
      </c>
      <c r="BK139" s="4">
        <f>IF(M138&lt;=0,0,MIN(BA139,AQ139))</f>
      </c>
      <c r="BL139" s="4">
        <f>IF(N138&lt;=0,0,MIN(BB139,AR139))</f>
      </c>
      <c r="BM139" s="4">
        <f>IF(O138&lt;=0,0,MIN(BC139,AS139))</f>
      </c>
      <c r="BN139" s="4">
        <f>IF(P138&lt;=0,0,MIN(BD139,AT139))</f>
      </c>
    </row>
    <row r="140" spans="1:66" x14ac:dyDescent="0.25">
      <c r="A140">
        <v>113</v>
      </c>
      <c r="B140" s="7">
        <f>EDATE($B$17,113)</f>
      </c>
      <c r="C140" s="4">
        <f>SUM(G140:P140)</f>
      </c>
      <c r="D140" s="4">
        <f>SUM(Q140:Z140)</f>
      </c>
      <c r="E140" s="4">
        <f>SUM(AA140:AJ140)+SUM(BE140:BN140)</f>
      </c>
      <c r="G140" s="4">
        <f>MAX(0,AK140-BE140)</f>
      </c>
      <c r="H140" s="4">
        <f>MAX(0,AL140-BF140)</f>
      </c>
      <c r="I140" s="4">
        <f>MAX(0,AM140-BG140)</f>
      </c>
      <c r="J140" s="4">
        <f>MAX(0,AN140-BH140)</f>
      </c>
      <c r="K140" s="4">
        <f>MAX(0,AO140-BI140)</f>
      </c>
      <c r="L140" s="4">
        <f>MAX(0,AP140-BJ140)</f>
      </c>
      <c r="M140" s="4">
        <f>MAX(0,AQ140-BK140)</f>
      </c>
      <c r="N140" s="4">
        <f>MAX(0,AR140-BL140)</f>
      </c>
      <c r="O140" s="4">
        <f>MAX(0,AS140-BM140)</f>
      </c>
      <c r="P140" s="4">
        <f>MAX(0,AT140-BN140)</f>
      </c>
      <c r="Q140" s="4">
        <f>IF(G139&gt;0,G139*($J$5/100/12),0)</f>
      </c>
      <c r="R140" s="4">
        <f>IF(H139&gt;0,H139*($J$6/100/12),0)</f>
      </c>
      <c r="S140" s="4">
        <f>IF(I139&gt;0,I139*($J$7/100/12),0)</f>
      </c>
      <c r="T140" s="4">
        <f>IF(J139&gt;0,J139*($J$8/100/12),0)</f>
      </c>
      <c r="U140" s="4">
        <f>IF(K139&gt;0,K139*($J$9/100/12),0)</f>
      </c>
      <c r="V140" s="4">
        <f>IF(L139&gt;0,L139*($J$10/100/12),0)</f>
      </c>
      <c r="W140" s="4">
        <f>IF(M139&gt;0,M139*($J$11/100/12),0)</f>
      </c>
      <c r="X140" s="4">
        <f>IF(N139&gt;0,N139*($J$12/100/12),0)</f>
      </c>
      <c r="Y140" s="4">
        <f>IF(O139&gt;0,O139*($J$13/100/12),0)</f>
      </c>
      <c r="Z140" s="4">
        <f>IF(P139&gt;0,P139*($J$14/100/12),0)</f>
      </c>
      <c r="AA140" s="4">
        <f>IF(G139&lt;=0,0,MIN($K$5,(G139+Q140)))</f>
      </c>
      <c r="AB140" s="4">
        <f>IF(H139&lt;=0,0,MIN($K$6,(H139+R140)))</f>
      </c>
      <c r="AC140" s="4">
        <f>IF(I139&lt;=0,0,MIN($K$7,(I139+S140)))</f>
      </c>
      <c r="AD140" s="4">
        <f>IF(J139&lt;=0,0,MIN($K$8,(J139+T140)))</f>
      </c>
      <c r="AE140" s="4">
        <f>IF(K139&lt;=0,0,MIN($K$9,(K139+U140)))</f>
      </c>
      <c r="AF140" s="4">
        <f>IF(L139&lt;=0,0,MIN($K$10,(L139+V140)))</f>
      </c>
      <c r="AG140" s="4">
        <f>IF(M139&lt;=0,0,MIN($K$11,(M139+W140)))</f>
      </c>
      <c r="AH140" s="4">
        <f>IF(N139&lt;=0,0,MIN($K$12,(N139+X140)))</f>
      </c>
      <c r="AI140" s="4">
        <f>IF(O139&lt;=0,0,MIN($K$13,(O139+Y140)))</f>
      </c>
      <c r="AJ140" s="4">
        <f>IF(P139&lt;=0,0,MIN($K$14,(P139+Z140)))</f>
      </c>
      <c r="AK140" s="4">
        <f>(G139+Q140)-AA140</f>
      </c>
      <c r="AL140" s="4">
        <f>(H139+R140)-AB140</f>
      </c>
      <c r="AM140" s="4">
        <f>(I139+S140)-AC140</f>
      </c>
      <c r="AN140" s="4">
        <f>(J139+T140)-AD140</f>
      </c>
      <c r="AO140" s="4">
        <f>(K139+U140)-AE140</f>
      </c>
      <c r="AP140" s="4">
        <f>(L139+V140)-AF140</f>
      </c>
      <c r="AQ140" s="4">
        <f>(M139+W140)-AG140</f>
      </c>
      <c r="AR140" s="4">
        <f>(N139+X140)-AH140</f>
      </c>
      <c r="AS140" s="4">
        <f>(O139+Y140)-AI140</f>
      </c>
      <c r="AT140" s="4">
        <f>(P139+Z140)-AJ140</f>
      </c>
      <c r="AU140" s="4">
        <f>$B$16+SUM($K$5:$K$14)-SUM(AA140:AJ140)</f>
      </c>
      <c r="AV140" s="4">
        <f>AU140-BE140</f>
      </c>
      <c r="AW140" s="4">
        <f>AV140-BF140</f>
      </c>
      <c r="AX140" s="4">
        <f>AW140-BG140</f>
      </c>
      <c r="AY140" s="4">
        <f>AX140-BH140</f>
      </c>
      <c r="AZ140" s="4">
        <f>AY140-BI140</f>
      </c>
      <c r="BA140" s="4">
        <f>AZ140-BJ140</f>
      </c>
      <c r="BB140" s="4">
        <f>BA140-BK140</f>
      </c>
      <c r="BC140" s="4">
        <f>BB140-BL140</f>
      </c>
      <c r="BD140" s="4">
        <f>BC140-BM140</f>
      </c>
      <c r="BE140" s="4">
        <f>IF(G139&lt;=0,0,MIN(AU140,AK140))</f>
      </c>
      <c r="BF140" s="4">
        <f>IF(H139&lt;=0,0,MIN(AV140,AL140))</f>
      </c>
      <c r="BG140" s="4">
        <f>IF(I139&lt;=0,0,MIN(AW140,AM140))</f>
      </c>
      <c r="BH140" s="4">
        <f>IF(J139&lt;=0,0,MIN(AX140,AN140))</f>
      </c>
      <c r="BI140" s="4">
        <f>IF(K139&lt;=0,0,MIN(AY140,AO140))</f>
      </c>
      <c r="BJ140" s="4">
        <f>IF(L139&lt;=0,0,MIN(AZ140,AP140))</f>
      </c>
      <c r="BK140" s="4">
        <f>IF(M139&lt;=0,0,MIN(BA140,AQ140))</f>
      </c>
      <c r="BL140" s="4">
        <f>IF(N139&lt;=0,0,MIN(BB140,AR140))</f>
      </c>
      <c r="BM140" s="4">
        <f>IF(O139&lt;=0,0,MIN(BC140,AS140))</f>
      </c>
      <c r="BN140" s="4">
        <f>IF(P139&lt;=0,0,MIN(BD140,AT140))</f>
      </c>
    </row>
    <row r="141" spans="1:66" x14ac:dyDescent="0.25">
      <c r="A141">
        <v>114</v>
      </c>
      <c r="B141" s="7">
        <f>EDATE($B$17,114)</f>
      </c>
      <c r="C141" s="4">
        <f>SUM(G141:P141)</f>
      </c>
      <c r="D141" s="4">
        <f>SUM(Q141:Z141)</f>
      </c>
      <c r="E141" s="4">
        <f>SUM(AA141:AJ141)+SUM(BE141:BN141)</f>
      </c>
      <c r="G141" s="4">
        <f>MAX(0,AK141-BE141)</f>
      </c>
      <c r="H141" s="4">
        <f>MAX(0,AL141-BF141)</f>
      </c>
      <c r="I141" s="4">
        <f>MAX(0,AM141-BG141)</f>
      </c>
      <c r="J141" s="4">
        <f>MAX(0,AN141-BH141)</f>
      </c>
      <c r="K141" s="4">
        <f>MAX(0,AO141-BI141)</f>
      </c>
      <c r="L141" s="4">
        <f>MAX(0,AP141-BJ141)</f>
      </c>
      <c r="M141" s="4">
        <f>MAX(0,AQ141-BK141)</f>
      </c>
      <c r="N141" s="4">
        <f>MAX(0,AR141-BL141)</f>
      </c>
      <c r="O141" s="4">
        <f>MAX(0,AS141-BM141)</f>
      </c>
      <c r="P141" s="4">
        <f>MAX(0,AT141-BN141)</f>
      </c>
      <c r="Q141" s="4">
        <f>IF(G140&gt;0,G140*($J$5/100/12),0)</f>
      </c>
      <c r="R141" s="4">
        <f>IF(H140&gt;0,H140*($J$6/100/12),0)</f>
      </c>
      <c r="S141" s="4">
        <f>IF(I140&gt;0,I140*($J$7/100/12),0)</f>
      </c>
      <c r="T141" s="4">
        <f>IF(J140&gt;0,J140*($J$8/100/12),0)</f>
      </c>
      <c r="U141" s="4">
        <f>IF(K140&gt;0,K140*($J$9/100/12),0)</f>
      </c>
      <c r="V141" s="4">
        <f>IF(L140&gt;0,L140*($J$10/100/12),0)</f>
      </c>
      <c r="W141" s="4">
        <f>IF(M140&gt;0,M140*($J$11/100/12),0)</f>
      </c>
      <c r="X141" s="4">
        <f>IF(N140&gt;0,N140*($J$12/100/12),0)</f>
      </c>
      <c r="Y141" s="4">
        <f>IF(O140&gt;0,O140*($J$13/100/12),0)</f>
      </c>
      <c r="Z141" s="4">
        <f>IF(P140&gt;0,P140*($J$14/100/12),0)</f>
      </c>
      <c r="AA141" s="4">
        <f>IF(G140&lt;=0,0,MIN($K$5,(G140+Q141)))</f>
      </c>
      <c r="AB141" s="4">
        <f>IF(H140&lt;=0,0,MIN($K$6,(H140+R141)))</f>
      </c>
      <c r="AC141" s="4">
        <f>IF(I140&lt;=0,0,MIN($K$7,(I140+S141)))</f>
      </c>
      <c r="AD141" s="4">
        <f>IF(J140&lt;=0,0,MIN($K$8,(J140+T141)))</f>
      </c>
      <c r="AE141" s="4">
        <f>IF(K140&lt;=0,0,MIN($K$9,(K140+U141)))</f>
      </c>
      <c r="AF141" s="4">
        <f>IF(L140&lt;=0,0,MIN($K$10,(L140+V141)))</f>
      </c>
      <c r="AG141" s="4">
        <f>IF(M140&lt;=0,0,MIN($K$11,(M140+W141)))</f>
      </c>
      <c r="AH141" s="4">
        <f>IF(N140&lt;=0,0,MIN($K$12,(N140+X141)))</f>
      </c>
      <c r="AI141" s="4">
        <f>IF(O140&lt;=0,0,MIN($K$13,(O140+Y141)))</f>
      </c>
      <c r="AJ141" s="4">
        <f>IF(P140&lt;=0,0,MIN($K$14,(P140+Z141)))</f>
      </c>
      <c r="AK141" s="4">
        <f>(G140+Q141)-AA141</f>
      </c>
      <c r="AL141" s="4">
        <f>(H140+R141)-AB141</f>
      </c>
      <c r="AM141" s="4">
        <f>(I140+S141)-AC141</f>
      </c>
      <c r="AN141" s="4">
        <f>(J140+T141)-AD141</f>
      </c>
      <c r="AO141" s="4">
        <f>(K140+U141)-AE141</f>
      </c>
      <c r="AP141" s="4">
        <f>(L140+V141)-AF141</f>
      </c>
      <c r="AQ141" s="4">
        <f>(M140+W141)-AG141</f>
      </c>
      <c r="AR141" s="4">
        <f>(N140+X141)-AH141</f>
      </c>
      <c r="AS141" s="4">
        <f>(O140+Y141)-AI141</f>
      </c>
      <c r="AT141" s="4">
        <f>(P140+Z141)-AJ141</f>
      </c>
      <c r="AU141" s="4">
        <f>$B$16+SUM($K$5:$K$14)-SUM(AA141:AJ141)</f>
      </c>
      <c r="AV141" s="4">
        <f>AU141-BE141</f>
      </c>
      <c r="AW141" s="4">
        <f>AV141-BF141</f>
      </c>
      <c r="AX141" s="4">
        <f>AW141-BG141</f>
      </c>
      <c r="AY141" s="4">
        <f>AX141-BH141</f>
      </c>
      <c r="AZ141" s="4">
        <f>AY141-BI141</f>
      </c>
      <c r="BA141" s="4">
        <f>AZ141-BJ141</f>
      </c>
      <c r="BB141" s="4">
        <f>BA141-BK141</f>
      </c>
      <c r="BC141" s="4">
        <f>BB141-BL141</f>
      </c>
      <c r="BD141" s="4">
        <f>BC141-BM141</f>
      </c>
      <c r="BE141" s="4">
        <f>IF(G140&lt;=0,0,MIN(AU141,AK141))</f>
      </c>
      <c r="BF141" s="4">
        <f>IF(H140&lt;=0,0,MIN(AV141,AL141))</f>
      </c>
      <c r="BG141" s="4">
        <f>IF(I140&lt;=0,0,MIN(AW141,AM141))</f>
      </c>
      <c r="BH141" s="4">
        <f>IF(J140&lt;=0,0,MIN(AX141,AN141))</f>
      </c>
      <c r="BI141" s="4">
        <f>IF(K140&lt;=0,0,MIN(AY141,AO141))</f>
      </c>
      <c r="BJ141" s="4">
        <f>IF(L140&lt;=0,0,MIN(AZ141,AP141))</f>
      </c>
      <c r="BK141" s="4">
        <f>IF(M140&lt;=0,0,MIN(BA141,AQ141))</f>
      </c>
      <c r="BL141" s="4">
        <f>IF(N140&lt;=0,0,MIN(BB141,AR141))</f>
      </c>
      <c r="BM141" s="4">
        <f>IF(O140&lt;=0,0,MIN(BC141,AS141))</f>
      </c>
      <c r="BN141" s="4">
        <f>IF(P140&lt;=0,0,MIN(BD141,AT141))</f>
      </c>
    </row>
    <row r="142" spans="1:66" x14ac:dyDescent="0.25">
      <c r="A142">
        <v>115</v>
      </c>
      <c r="B142" s="7">
        <f>EDATE($B$17,115)</f>
      </c>
      <c r="C142" s="4">
        <f>SUM(G142:P142)</f>
      </c>
      <c r="D142" s="4">
        <f>SUM(Q142:Z142)</f>
      </c>
      <c r="E142" s="4">
        <f>SUM(AA142:AJ142)+SUM(BE142:BN142)</f>
      </c>
      <c r="G142" s="4">
        <f>MAX(0,AK142-BE142)</f>
      </c>
      <c r="H142" s="4">
        <f>MAX(0,AL142-BF142)</f>
      </c>
      <c r="I142" s="4">
        <f>MAX(0,AM142-BG142)</f>
      </c>
      <c r="J142" s="4">
        <f>MAX(0,AN142-BH142)</f>
      </c>
      <c r="K142" s="4">
        <f>MAX(0,AO142-BI142)</f>
      </c>
      <c r="L142" s="4">
        <f>MAX(0,AP142-BJ142)</f>
      </c>
      <c r="M142" s="4">
        <f>MAX(0,AQ142-BK142)</f>
      </c>
      <c r="N142" s="4">
        <f>MAX(0,AR142-BL142)</f>
      </c>
      <c r="O142" s="4">
        <f>MAX(0,AS142-BM142)</f>
      </c>
      <c r="P142" s="4">
        <f>MAX(0,AT142-BN142)</f>
      </c>
      <c r="Q142" s="4">
        <f>IF(G141&gt;0,G141*($J$5/100/12),0)</f>
      </c>
      <c r="R142" s="4">
        <f>IF(H141&gt;0,H141*($J$6/100/12),0)</f>
      </c>
      <c r="S142" s="4">
        <f>IF(I141&gt;0,I141*($J$7/100/12),0)</f>
      </c>
      <c r="T142" s="4">
        <f>IF(J141&gt;0,J141*($J$8/100/12),0)</f>
      </c>
      <c r="U142" s="4">
        <f>IF(K141&gt;0,K141*($J$9/100/12),0)</f>
      </c>
      <c r="V142" s="4">
        <f>IF(L141&gt;0,L141*($J$10/100/12),0)</f>
      </c>
      <c r="W142" s="4">
        <f>IF(M141&gt;0,M141*($J$11/100/12),0)</f>
      </c>
      <c r="X142" s="4">
        <f>IF(N141&gt;0,N141*($J$12/100/12),0)</f>
      </c>
      <c r="Y142" s="4">
        <f>IF(O141&gt;0,O141*($J$13/100/12),0)</f>
      </c>
      <c r="Z142" s="4">
        <f>IF(P141&gt;0,P141*($J$14/100/12),0)</f>
      </c>
      <c r="AA142" s="4">
        <f>IF(G141&lt;=0,0,MIN($K$5,(G141+Q142)))</f>
      </c>
      <c r="AB142" s="4">
        <f>IF(H141&lt;=0,0,MIN($K$6,(H141+R142)))</f>
      </c>
      <c r="AC142" s="4">
        <f>IF(I141&lt;=0,0,MIN($K$7,(I141+S142)))</f>
      </c>
      <c r="AD142" s="4">
        <f>IF(J141&lt;=0,0,MIN($K$8,(J141+T142)))</f>
      </c>
      <c r="AE142" s="4">
        <f>IF(K141&lt;=0,0,MIN($K$9,(K141+U142)))</f>
      </c>
      <c r="AF142" s="4">
        <f>IF(L141&lt;=0,0,MIN($K$10,(L141+V142)))</f>
      </c>
      <c r="AG142" s="4">
        <f>IF(M141&lt;=0,0,MIN($K$11,(M141+W142)))</f>
      </c>
      <c r="AH142" s="4">
        <f>IF(N141&lt;=0,0,MIN($K$12,(N141+X142)))</f>
      </c>
      <c r="AI142" s="4">
        <f>IF(O141&lt;=0,0,MIN($K$13,(O141+Y142)))</f>
      </c>
      <c r="AJ142" s="4">
        <f>IF(P141&lt;=0,0,MIN($K$14,(P141+Z142)))</f>
      </c>
      <c r="AK142" s="4">
        <f>(G141+Q142)-AA142</f>
      </c>
      <c r="AL142" s="4">
        <f>(H141+R142)-AB142</f>
      </c>
      <c r="AM142" s="4">
        <f>(I141+S142)-AC142</f>
      </c>
      <c r="AN142" s="4">
        <f>(J141+T142)-AD142</f>
      </c>
      <c r="AO142" s="4">
        <f>(K141+U142)-AE142</f>
      </c>
      <c r="AP142" s="4">
        <f>(L141+V142)-AF142</f>
      </c>
      <c r="AQ142" s="4">
        <f>(M141+W142)-AG142</f>
      </c>
      <c r="AR142" s="4">
        <f>(N141+X142)-AH142</f>
      </c>
      <c r="AS142" s="4">
        <f>(O141+Y142)-AI142</f>
      </c>
      <c r="AT142" s="4">
        <f>(P141+Z142)-AJ142</f>
      </c>
      <c r="AU142" s="4">
        <f>$B$16+SUM($K$5:$K$14)-SUM(AA142:AJ142)</f>
      </c>
      <c r="AV142" s="4">
        <f>AU142-BE142</f>
      </c>
      <c r="AW142" s="4">
        <f>AV142-BF142</f>
      </c>
      <c r="AX142" s="4">
        <f>AW142-BG142</f>
      </c>
      <c r="AY142" s="4">
        <f>AX142-BH142</f>
      </c>
      <c r="AZ142" s="4">
        <f>AY142-BI142</f>
      </c>
      <c r="BA142" s="4">
        <f>AZ142-BJ142</f>
      </c>
      <c r="BB142" s="4">
        <f>BA142-BK142</f>
      </c>
      <c r="BC142" s="4">
        <f>BB142-BL142</f>
      </c>
      <c r="BD142" s="4">
        <f>BC142-BM142</f>
      </c>
      <c r="BE142" s="4">
        <f>IF(G141&lt;=0,0,MIN(AU142,AK142))</f>
      </c>
      <c r="BF142" s="4">
        <f>IF(H141&lt;=0,0,MIN(AV142,AL142))</f>
      </c>
      <c r="BG142" s="4">
        <f>IF(I141&lt;=0,0,MIN(AW142,AM142))</f>
      </c>
      <c r="BH142" s="4">
        <f>IF(J141&lt;=0,0,MIN(AX142,AN142))</f>
      </c>
      <c r="BI142" s="4">
        <f>IF(K141&lt;=0,0,MIN(AY142,AO142))</f>
      </c>
      <c r="BJ142" s="4">
        <f>IF(L141&lt;=0,0,MIN(AZ142,AP142))</f>
      </c>
      <c r="BK142" s="4">
        <f>IF(M141&lt;=0,0,MIN(BA142,AQ142))</f>
      </c>
      <c r="BL142" s="4">
        <f>IF(N141&lt;=0,0,MIN(BB142,AR142))</f>
      </c>
      <c r="BM142" s="4">
        <f>IF(O141&lt;=0,0,MIN(BC142,AS142))</f>
      </c>
      <c r="BN142" s="4">
        <f>IF(P141&lt;=0,0,MIN(BD142,AT142))</f>
      </c>
    </row>
    <row r="143" spans="1:66" x14ac:dyDescent="0.25">
      <c r="A143">
        <v>116</v>
      </c>
      <c r="B143" s="7">
        <f>EDATE($B$17,116)</f>
      </c>
      <c r="C143" s="4">
        <f>SUM(G143:P143)</f>
      </c>
      <c r="D143" s="4">
        <f>SUM(Q143:Z143)</f>
      </c>
      <c r="E143" s="4">
        <f>SUM(AA143:AJ143)+SUM(BE143:BN143)</f>
      </c>
      <c r="G143" s="4">
        <f>MAX(0,AK143-BE143)</f>
      </c>
      <c r="H143" s="4">
        <f>MAX(0,AL143-BF143)</f>
      </c>
      <c r="I143" s="4">
        <f>MAX(0,AM143-BG143)</f>
      </c>
      <c r="J143" s="4">
        <f>MAX(0,AN143-BH143)</f>
      </c>
      <c r="K143" s="4">
        <f>MAX(0,AO143-BI143)</f>
      </c>
      <c r="L143" s="4">
        <f>MAX(0,AP143-BJ143)</f>
      </c>
      <c r="M143" s="4">
        <f>MAX(0,AQ143-BK143)</f>
      </c>
      <c r="N143" s="4">
        <f>MAX(0,AR143-BL143)</f>
      </c>
      <c r="O143" s="4">
        <f>MAX(0,AS143-BM143)</f>
      </c>
      <c r="P143" s="4">
        <f>MAX(0,AT143-BN143)</f>
      </c>
      <c r="Q143" s="4">
        <f>IF(G142&gt;0,G142*($J$5/100/12),0)</f>
      </c>
      <c r="R143" s="4">
        <f>IF(H142&gt;0,H142*($J$6/100/12),0)</f>
      </c>
      <c r="S143" s="4">
        <f>IF(I142&gt;0,I142*($J$7/100/12),0)</f>
      </c>
      <c r="T143" s="4">
        <f>IF(J142&gt;0,J142*($J$8/100/12),0)</f>
      </c>
      <c r="U143" s="4">
        <f>IF(K142&gt;0,K142*($J$9/100/12),0)</f>
      </c>
      <c r="V143" s="4">
        <f>IF(L142&gt;0,L142*($J$10/100/12),0)</f>
      </c>
      <c r="W143" s="4">
        <f>IF(M142&gt;0,M142*($J$11/100/12),0)</f>
      </c>
      <c r="X143" s="4">
        <f>IF(N142&gt;0,N142*($J$12/100/12),0)</f>
      </c>
      <c r="Y143" s="4">
        <f>IF(O142&gt;0,O142*($J$13/100/12),0)</f>
      </c>
      <c r="Z143" s="4">
        <f>IF(P142&gt;0,P142*($J$14/100/12),0)</f>
      </c>
      <c r="AA143" s="4">
        <f>IF(G142&lt;=0,0,MIN($K$5,(G142+Q143)))</f>
      </c>
      <c r="AB143" s="4">
        <f>IF(H142&lt;=0,0,MIN($K$6,(H142+R143)))</f>
      </c>
      <c r="AC143" s="4">
        <f>IF(I142&lt;=0,0,MIN($K$7,(I142+S143)))</f>
      </c>
      <c r="AD143" s="4">
        <f>IF(J142&lt;=0,0,MIN($K$8,(J142+T143)))</f>
      </c>
      <c r="AE143" s="4">
        <f>IF(K142&lt;=0,0,MIN($K$9,(K142+U143)))</f>
      </c>
      <c r="AF143" s="4">
        <f>IF(L142&lt;=0,0,MIN($K$10,(L142+V143)))</f>
      </c>
      <c r="AG143" s="4">
        <f>IF(M142&lt;=0,0,MIN($K$11,(M142+W143)))</f>
      </c>
      <c r="AH143" s="4">
        <f>IF(N142&lt;=0,0,MIN($K$12,(N142+X143)))</f>
      </c>
      <c r="AI143" s="4">
        <f>IF(O142&lt;=0,0,MIN($K$13,(O142+Y143)))</f>
      </c>
      <c r="AJ143" s="4">
        <f>IF(P142&lt;=0,0,MIN($K$14,(P142+Z143)))</f>
      </c>
      <c r="AK143" s="4">
        <f>(G142+Q143)-AA143</f>
      </c>
      <c r="AL143" s="4">
        <f>(H142+R143)-AB143</f>
      </c>
      <c r="AM143" s="4">
        <f>(I142+S143)-AC143</f>
      </c>
      <c r="AN143" s="4">
        <f>(J142+T143)-AD143</f>
      </c>
      <c r="AO143" s="4">
        <f>(K142+U143)-AE143</f>
      </c>
      <c r="AP143" s="4">
        <f>(L142+V143)-AF143</f>
      </c>
      <c r="AQ143" s="4">
        <f>(M142+W143)-AG143</f>
      </c>
      <c r="AR143" s="4">
        <f>(N142+X143)-AH143</f>
      </c>
      <c r="AS143" s="4">
        <f>(O142+Y143)-AI143</f>
      </c>
      <c r="AT143" s="4">
        <f>(P142+Z143)-AJ143</f>
      </c>
      <c r="AU143" s="4">
        <f>$B$16+SUM($K$5:$K$14)-SUM(AA143:AJ143)</f>
      </c>
      <c r="AV143" s="4">
        <f>AU143-BE143</f>
      </c>
      <c r="AW143" s="4">
        <f>AV143-BF143</f>
      </c>
      <c r="AX143" s="4">
        <f>AW143-BG143</f>
      </c>
      <c r="AY143" s="4">
        <f>AX143-BH143</f>
      </c>
      <c r="AZ143" s="4">
        <f>AY143-BI143</f>
      </c>
      <c r="BA143" s="4">
        <f>AZ143-BJ143</f>
      </c>
      <c r="BB143" s="4">
        <f>BA143-BK143</f>
      </c>
      <c r="BC143" s="4">
        <f>BB143-BL143</f>
      </c>
      <c r="BD143" s="4">
        <f>BC143-BM143</f>
      </c>
      <c r="BE143" s="4">
        <f>IF(G142&lt;=0,0,MIN(AU143,AK143))</f>
      </c>
      <c r="BF143" s="4">
        <f>IF(H142&lt;=0,0,MIN(AV143,AL143))</f>
      </c>
      <c r="BG143" s="4">
        <f>IF(I142&lt;=0,0,MIN(AW143,AM143))</f>
      </c>
      <c r="BH143" s="4">
        <f>IF(J142&lt;=0,0,MIN(AX143,AN143))</f>
      </c>
      <c r="BI143" s="4">
        <f>IF(K142&lt;=0,0,MIN(AY143,AO143))</f>
      </c>
      <c r="BJ143" s="4">
        <f>IF(L142&lt;=0,0,MIN(AZ143,AP143))</f>
      </c>
      <c r="BK143" s="4">
        <f>IF(M142&lt;=0,0,MIN(BA143,AQ143))</f>
      </c>
      <c r="BL143" s="4">
        <f>IF(N142&lt;=0,0,MIN(BB143,AR143))</f>
      </c>
      <c r="BM143" s="4">
        <f>IF(O142&lt;=0,0,MIN(BC143,AS143))</f>
      </c>
      <c r="BN143" s="4">
        <f>IF(P142&lt;=0,0,MIN(BD143,AT143))</f>
      </c>
    </row>
    <row r="144" spans="1:66" x14ac:dyDescent="0.25">
      <c r="A144">
        <v>117</v>
      </c>
      <c r="B144" s="7">
        <f>EDATE($B$17,117)</f>
      </c>
      <c r="C144" s="4">
        <f>SUM(G144:P144)</f>
      </c>
      <c r="D144" s="4">
        <f>SUM(Q144:Z144)</f>
      </c>
      <c r="E144" s="4">
        <f>SUM(AA144:AJ144)+SUM(BE144:BN144)</f>
      </c>
      <c r="G144" s="4">
        <f>MAX(0,AK144-BE144)</f>
      </c>
      <c r="H144" s="4">
        <f>MAX(0,AL144-BF144)</f>
      </c>
      <c r="I144" s="4">
        <f>MAX(0,AM144-BG144)</f>
      </c>
      <c r="J144" s="4">
        <f>MAX(0,AN144-BH144)</f>
      </c>
      <c r="K144" s="4">
        <f>MAX(0,AO144-BI144)</f>
      </c>
      <c r="L144" s="4">
        <f>MAX(0,AP144-BJ144)</f>
      </c>
      <c r="M144" s="4">
        <f>MAX(0,AQ144-BK144)</f>
      </c>
      <c r="N144" s="4">
        <f>MAX(0,AR144-BL144)</f>
      </c>
      <c r="O144" s="4">
        <f>MAX(0,AS144-BM144)</f>
      </c>
      <c r="P144" s="4">
        <f>MAX(0,AT144-BN144)</f>
      </c>
      <c r="Q144" s="4">
        <f>IF(G143&gt;0,G143*($J$5/100/12),0)</f>
      </c>
      <c r="R144" s="4">
        <f>IF(H143&gt;0,H143*($J$6/100/12),0)</f>
      </c>
      <c r="S144" s="4">
        <f>IF(I143&gt;0,I143*($J$7/100/12),0)</f>
      </c>
      <c r="T144" s="4">
        <f>IF(J143&gt;0,J143*($J$8/100/12),0)</f>
      </c>
      <c r="U144" s="4">
        <f>IF(K143&gt;0,K143*($J$9/100/12),0)</f>
      </c>
      <c r="V144" s="4">
        <f>IF(L143&gt;0,L143*($J$10/100/12),0)</f>
      </c>
      <c r="W144" s="4">
        <f>IF(M143&gt;0,M143*($J$11/100/12),0)</f>
      </c>
      <c r="X144" s="4">
        <f>IF(N143&gt;0,N143*($J$12/100/12),0)</f>
      </c>
      <c r="Y144" s="4">
        <f>IF(O143&gt;0,O143*($J$13/100/12),0)</f>
      </c>
      <c r="Z144" s="4">
        <f>IF(P143&gt;0,P143*($J$14/100/12),0)</f>
      </c>
      <c r="AA144" s="4">
        <f>IF(G143&lt;=0,0,MIN($K$5,(G143+Q144)))</f>
      </c>
      <c r="AB144" s="4">
        <f>IF(H143&lt;=0,0,MIN($K$6,(H143+R144)))</f>
      </c>
      <c r="AC144" s="4">
        <f>IF(I143&lt;=0,0,MIN($K$7,(I143+S144)))</f>
      </c>
      <c r="AD144" s="4">
        <f>IF(J143&lt;=0,0,MIN($K$8,(J143+T144)))</f>
      </c>
      <c r="AE144" s="4">
        <f>IF(K143&lt;=0,0,MIN($K$9,(K143+U144)))</f>
      </c>
      <c r="AF144" s="4">
        <f>IF(L143&lt;=0,0,MIN($K$10,(L143+V144)))</f>
      </c>
      <c r="AG144" s="4">
        <f>IF(M143&lt;=0,0,MIN($K$11,(M143+W144)))</f>
      </c>
      <c r="AH144" s="4">
        <f>IF(N143&lt;=0,0,MIN($K$12,(N143+X144)))</f>
      </c>
      <c r="AI144" s="4">
        <f>IF(O143&lt;=0,0,MIN($K$13,(O143+Y144)))</f>
      </c>
      <c r="AJ144" s="4">
        <f>IF(P143&lt;=0,0,MIN($K$14,(P143+Z144)))</f>
      </c>
      <c r="AK144" s="4">
        <f>(G143+Q144)-AA144</f>
      </c>
      <c r="AL144" s="4">
        <f>(H143+R144)-AB144</f>
      </c>
      <c r="AM144" s="4">
        <f>(I143+S144)-AC144</f>
      </c>
      <c r="AN144" s="4">
        <f>(J143+T144)-AD144</f>
      </c>
      <c r="AO144" s="4">
        <f>(K143+U144)-AE144</f>
      </c>
      <c r="AP144" s="4">
        <f>(L143+V144)-AF144</f>
      </c>
      <c r="AQ144" s="4">
        <f>(M143+W144)-AG144</f>
      </c>
      <c r="AR144" s="4">
        <f>(N143+X144)-AH144</f>
      </c>
      <c r="AS144" s="4">
        <f>(O143+Y144)-AI144</f>
      </c>
      <c r="AT144" s="4">
        <f>(P143+Z144)-AJ144</f>
      </c>
      <c r="AU144" s="4">
        <f>$B$16+SUM($K$5:$K$14)-SUM(AA144:AJ144)</f>
      </c>
      <c r="AV144" s="4">
        <f>AU144-BE144</f>
      </c>
      <c r="AW144" s="4">
        <f>AV144-BF144</f>
      </c>
      <c r="AX144" s="4">
        <f>AW144-BG144</f>
      </c>
      <c r="AY144" s="4">
        <f>AX144-BH144</f>
      </c>
      <c r="AZ144" s="4">
        <f>AY144-BI144</f>
      </c>
      <c r="BA144" s="4">
        <f>AZ144-BJ144</f>
      </c>
      <c r="BB144" s="4">
        <f>BA144-BK144</f>
      </c>
      <c r="BC144" s="4">
        <f>BB144-BL144</f>
      </c>
      <c r="BD144" s="4">
        <f>BC144-BM144</f>
      </c>
      <c r="BE144" s="4">
        <f>IF(G143&lt;=0,0,MIN(AU144,AK144))</f>
      </c>
      <c r="BF144" s="4">
        <f>IF(H143&lt;=0,0,MIN(AV144,AL144))</f>
      </c>
      <c r="BG144" s="4">
        <f>IF(I143&lt;=0,0,MIN(AW144,AM144))</f>
      </c>
      <c r="BH144" s="4">
        <f>IF(J143&lt;=0,0,MIN(AX144,AN144))</f>
      </c>
      <c r="BI144" s="4">
        <f>IF(K143&lt;=0,0,MIN(AY144,AO144))</f>
      </c>
      <c r="BJ144" s="4">
        <f>IF(L143&lt;=0,0,MIN(AZ144,AP144))</f>
      </c>
      <c r="BK144" s="4">
        <f>IF(M143&lt;=0,0,MIN(BA144,AQ144))</f>
      </c>
      <c r="BL144" s="4">
        <f>IF(N143&lt;=0,0,MIN(BB144,AR144))</f>
      </c>
      <c r="BM144" s="4">
        <f>IF(O143&lt;=0,0,MIN(BC144,AS144))</f>
      </c>
      <c r="BN144" s="4">
        <f>IF(P143&lt;=0,0,MIN(BD144,AT144))</f>
      </c>
    </row>
    <row r="145" spans="1:66" x14ac:dyDescent="0.25">
      <c r="A145">
        <v>118</v>
      </c>
      <c r="B145" s="7">
        <f>EDATE($B$17,118)</f>
      </c>
      <c r="C145" s="4">
        <f>SUM(G145:P145)</f>
      </c>
      <c r="D145" s="4">
        <f>SUM(Q145:Z145)</f>
      </c>
      <c r="E145" s="4">
        <f>SUM(AA145:AJ145)+SUM(BE145:BN145)</f>
      </c>
      <c r="G145" s="4">
        <f>MAX(0,AK145-BE145)</f>
      </c>
      <c r="H145" s="4">
        <f>MAX(0,AL145-BF145)</f>
      </c>
      <c r="I145" s="4">
        <f>MAX(0,AM145-BG145)</f>
      </c>
      <c r="J145" s="4">
        <f>MAX(0,AN145-BH145)</f>
      </c>
      <c r="K145" s="4">
        <f>MAX(0,AO145-BI145)</f>
      </c>
      <c r="L145" s="4">
        <f>MAX(0,AP145-BJ145)</f>
      </c>
      <c r="M145" s="4">
        <f>MAX(0,AQ145-BK145)</f>
      </c>
      <c r="N145" s="4">
        <f>MAX(0,AR145-BL145)</f>
      </c>
      <c r="O145" s="4">
        <f>MAX(0,AS145-BM145)</f>
      </c>
      <c r="P145" s="4">
        <f>MAX(0,AT145-BN145)</f>
      </c>
      <c r="Q145" s="4">
        <f>IF(G144&gt;0,G144*($J$5/100/12),0)</f>
      </c>
      <c r="R145" s="4">
        <f>IF(H144&gt;0,H144*($J$6/100/12),0)</f>
      </c>
      <c r="S145" s="4">
        <f>IF(I144&gt;0,I144*($J$7/100/12),0)</f>
      </c>
      <c r="T145" s="4">
        <f>IF(J144&gt;0,J144*($J$8/100/12),0)</f>
      </c>
      <c r="U145" s="4">
        <f>IF(K144&gt;0,K144*($J$9/100/12),0)</f>
      </c>
      <c r="V145" s="4">
        <f>IF(L144&gt;0,L144*($J$10/100/12),0)</f>
      </c>
      <c r="W145" s="4">
        <f>IF(M144&gt;0,M144*($J$11/100/12),0)</f>
      </c>
      <c r="X145" s="4">
        <f>IF(N144&gt;0,N144*($J$12/100/12),0)</f>
      </c>
      <c r="Y145" s="4">
        <f>IF(O144&gt;0,O144*($J$13/100/12),0)</f>
      </c>
      <c r="Z145" s="4">
        <f>IF(P144&gt;0,P144*($J$14/100/12),0)</f>
      </c>
      <c r="AA145" s="4">
        <f>IF(G144&lt;=0,0,MIN($K$5,(G144+Q145)))</f>
      </c>
      <c r="AB145" s="4">
        <f>IF(H144&lt;=0,0,MIN($K$6,(H144+R145)))</f>
      </c>
      <c r="AC145" s="4">
        <f>IF(I144&lt;=0,0,MIN($K$7,(I144+S145)))</f>
      </c>
      <c r="AD145" s="4">
        <f>IF(J144&lt;=0,0,MIN($K$8,(J144+T145)))</f>
      </c>
      <c r="AE145" s="4">
        <f>IF(K144&lt;=0,0,MIN($K$9,(K144+U145)))</f>
      </c>
      <c r="AF145" s="4">
        <f>IF(L144&lt;=0,0,MIN($K$10,(L144+V145)))</f>
      </c>
      <c r="AG145" s="4">
        <f>IF(M144&lt;=0,0,MIN($K$11,(M144+W145)))</f>
      </c>
      <c r="AH145" s="4">
        <f>IF(N144&lt;=0,0,MIN($K$12,(N144+X145)))</f>
      </c>
      <c r="AI145" s="4">
        <f>IF(O144&lt;=0,0,MIN($K$13,(O144+Y145)))</f>
      </c>
      <c r="AJ145" s="4">
        <f>IF(P144&lt;=0,0,MIN($K$14,(P144+Z145)))</f>
      </c>
      <c r="AK145" s="4">
        <f>(G144+Q145)-AA145</f>
      </c>
      <c r="AL145" s="4">
        <f>(H144+R145)-AB145</f>
      </c>
      <c r="AM145" s="4">
        <f>(I144+S145)-AC145</f>
      </c>
      <c r="AN145" s="4">
        <f>(J144+T145)-AD145</f>
      </c>
      <c r="AO145" s="4">
        <f>(K144+U145)-AE145</f>
      </c>
      <c r="AP145" s="4">
        <f>(L144+V145)-AF145</f>
      </c>
      <c r="AQ145" s="4">
        <f>(M144+W145)-AG145</f>
      </c>
      <c r="AR145" s="4">
        <f>(N144+X145)-AH145</f>
      </c>
      <c r="AS145" s="4">
        <f>(O144+Y145)-AI145</f>
      </c>
      <c r="AT145" s="4">
        <f>(P144+Z145)-AJ145</f>
      </c>
      <c r="AU145" s="4">
        <f>$B$16+SUM($K$5:$K$14)-SUM(AA145:AJ145)</f>
      </c>
      <c r="AV145" s="4">
        <f>AU145-BE145</f>
      </c>
      <c r="AW145" s="4">
        <f>AV145-BF145</f>
      </c>
      <c r="AX145" s="4">
        <f>AW145-BG145</f>
      </c>
      <c r="AY145" s="4">
        <f>AX145-BH145</f>
      </c>
      <c r="AZ145" s="4">
        <f>AY145-BI145</f>
      </c>
      <c r="BA145" s="4">
        <f>AZ145-BJ145</f>
      </c>
      <c r="BB145" s="4">
        <f>BA145-BK145</f>
      </c>
      <c r="BC145" s="4">
        <f>BB145-BL145</f>
      </c>
      <c r="BD145" s="4">
        <f>BC145-BM145</f>
      </c>
      <c r="BE145" s="4">
        <f>IF(G144&lt;=0,0,MIN(AU145,AK145))</f>
      </c>
      <c r="BF145" s="4">
        <f>IF(H144&lt;=0,0,MIN(AV145,AL145))</f>
      </c>
      <c r="BG145" s="4">
        <f>IF(I144&lt;=0,0,MIN(AW145,AM145))</f>
      </c>
      <c r="BH145" s="4">
        <f>IF(J144&lt;=0,0,MIN(AX145,AN145))</f>
      </c>
      <c r="BI145" s="4">
        <f>IF(K144&lt;=0,0,MIN(AY145,AO145))</f>
      </c>
      <c r="BJ145" s="4">
        <f>IF(L144&lt;=0,0,MIN(AZ145,AP145))</f>
      </c>
      <c r="BK145" s="4">
        <f>IF(M144&lt;=0,0,MIN(BA145,AQ145))</f>
      </c>
      <c r="BL145" s="4">
        <f>IF(N144&lt;=0,0,MIN(BB145,AR145))</f>
      </c>
      <c r="BM145" s="4">
        <f>IF(O144&lt;=0,0,MIN(BC145,AS145))</f>
      </c>
      <c r="BN145" s="4">
        <f>IF(P144&lt;=0,0,MIN(BD145,AT145))</f>
      </c>
    </row>
    <row r="146" spans="1:66" x14ac:dyDescent="0.25">
      <c r="A146">
        <v>119</v>
      </c>
      <c r="B146" s="7">
        <f>EDATE($B$17,119)</f>
      </c>
      <c r="C146" s="4">
        <f>SUM(G146:P146)</f>
      </c>
      <c r="D146" s="4">
        <f>SUM(Q146:Z146)</f>
      </c>
      <c r="E146" s="4">
        <f>SUM(AA146:AJ146)+SUM(BE146:BN146)</f>
      </c>
      <c r="G146" s="4">
        <f>MAX(0,AK146-BE146)</f>
      </c>
      <c r="H146" s="4">
        <f>MAX(0,AL146-BF146)</f>
      </c>
      <c r="I146" s="4">
        <f>MAX(0,AM146-BG146)</f>
      </c>
      <c r="J146" s="4">
        <f>MAX(0,AN146-BH146)</f>
      </c>
      <c r="K146" s="4">
        <f>MAX(0,AO146-BI146)</f>
      </c>
      <c r="L146" s="4">
        <f>MAX(0,AP146-BJ146)</f>
      </c>
      <c r="M146" s="4">
        <f>MAX(0,AQ146-BK146)</f>
      </c>
      <c r="N146" s="4">
        <f>MAX(0,AR146-BL146)</f>
      </c>
      <c r="O146" s="4">
        <f>MAX(0,AS146-BM146)</f>
      </c>
      <c r="P146" s="4">
        <f>MAX(0,AT146-BN146)</f>
      </c>
      <c r="Q146" s="4">
        <f>IF(G145&gt;0,G145*($J$5/100/12),0)</f>
      </c>
      <c r="R146" s="4">
        <f>IF(H145&gt;0,H145*($J$6/100/12),0)</f>
      </c>
      <c r="S146" s="4">
        <f>IF(I145&gt;0,I145*($J$7/100/12),0)</f>
      </c>
      <c r="T146" s="4">
        <f>IF(J145&gt;0,J145*($J$8/100/12),0)</f>
      </c>
      <c r="U146" s="4">
        <f>IF(K145&gt;0,K145*($J$9/100/12),0)</f>
      </c>
      <c r="V146" s="4">
        <f>IF(L145&gt;0,L145*($J$10/100/12),0)</f>
      </c>
      <c r="W146" s="4">
        <f>IF(M145&gt;0,M145*($J$11/100/12),0)</f>
      </c>
      <c r="X146" s="4">
        <f>IF(N145&gt;0,N145*($J$12/100/12),0)</f>
      </c>
      <c r="Y146" s="4">
        <f>IF(O145&gt;0,O145*($J$13/100/12),0)</f>
      </c>
      <c r="Z146" s="4">
        <f>IF(P145&gt;0,P145*($J$14/100/12),0)</f>
      </c>
      <c r="AA146" s="4">
        <f>IF(G145&lt;=0,0,MIN($K$5,(G145+Q146)))</f>
      </c>
      <c r="AB146" s="4">
        <f>IF(H145&lt;=0,0,MIN($K$6,(H145+R146)))</f>
      </c>
      <c r="AC146" s="4">
        <f>IF(I145&lt;=0,0,MIN($K$7,(I145+S146)))</f>
      </c>
      <c r="AD146" s="4">
        <f>IF(J145&lt;=0,0,MIN($K$8,(J145+T146)))</f>
      </c>
      <c r="AE146" s="4">
        <f>IF(K145&lt;=0,0,MIN($K$9,(K145+U146)))</f>
      </c>
      <c r="AF146" s="4">
        <f>IF(L145&lt;=0,0,MIN($K$10,(L145+V146)))</f>
      </c>
      <c r="AG146" s="4">
        <f>IF(M145&lt;=0,0,MIN($K$11,(M145+W146)))</f>
      </c>
      <c r="AH146" s="4">
        <f>IF(N145&lt;=0,0,MIN($K$12,(N145+X146)))</f>
      </c>
      <c r="AI146" s="4">
        <f>IF(O145&lt;=0,0,MIN($K$13,(O145+Y146)))</f>
      </c>
      <c r="AJ146" s="4">
        <f>IF(P145&lt;=0,0,MIN($K$14,(P145+Z146)))</f>
      </c>
      <c r="AK146" s="4">
        <f>(G145+Q146)-AA146</f>
      </c>
      <c r="AL146" s="4">
        <f>(H145+R146)-AB146</f>
      </c>
      <c r="AM146" s="4">
        <f>(I145+S146)-AC146</f>
      </c>
      <c r="AN146" s="4">
        <f>(J145+T146)-AD146</f>
      </c>
      <c r="AO146" s="4">
        <f>(K145+U146)-AE146</f>
      </c>
      <c r="AP146" s="4">
        <f>(L145+V146)-AF146</f>
      </c>
      <c r="AQ146" s="4">
        <f>(M145+W146)-AG146</f>
      </c>
      <c r="AR146" s="4">
        <f>(N145+X146)-AH146</f>
      </c>
      <c r="AS146" s="4">
        <f>(O145+Y146)-AI146</f>
      </c>
      <c r="AT146" s="4">
        <f>(P145+Z146)-AJ146</f>
      </c>
      <c r="AU146" s="4">
        <f>$B$16+SUM($K$5:$K$14)-SUM(AA146:AJ146)</f>
      </c>
      <c r="AV146" s="4">
        <f>AU146-BE146</f>
      </c>
      <c r="AW146" s="4">
        <f>AV146-BF146</f>
      </c>
      <c r="AX146" s="4">
        <f>AW146-BG146</f>
      </c>
      <c r="AY146" s="4">
        <f>AX146-BH146</f>
      </c>
      <c r="AZ146" s="4">
        <f>AY146-BI146</f>
      </c>
      <c r="BA146" s="4">
        <f>AZ146-BJ146</f>
      </c>
      <c r="BB146" s="4">
        <f>BA146-BK146</f>
      </c>
      <c r="BC146" s="4">
        <f>BB146-BL146</f>
      </c>
      <c r="BD146" s="4">
        <f>BC146-BM146</f>
      </c>
      <c r="BE146" s="4">
        <f>IF(G145&lt;=0,0,MIN(AU146,AK146))</f>
      </c>
      <c r="BF146" s="4">
        <f>IF(H145&lt;=0,0,MIN(AV146,AL146))</f>
      </c>
      <c r="BG146" s="4">
        <f>IF(I145&lt;=0,0,MIN(AW146,AM146))</f>
      </c>
      <c r="BH146" s="4">
        <f>IF(J145&lt;=0,0,MIN(AX146,AN146))</f>
      </c>
      <c r="BI146" s="4">
        <f>IF(K145&lt;=0,0,MIN(AY146,AO146))</f>
      </c>
      <c r="BJ146" s="4">
        <f>IF(L145&lt;=0,0,MIN(AZ146,AP146))</f>
      </c>
      <c r="BK146" s="4">
        <f>IF(M145&lt;=0,0,MIN(BA146,AQ146))</f>
      </c>
      <c r="BL146" s="4">
        <f>IF(N145&lt;=0,0,MIN(BB146,AR146))</f>
      </c>
      <c r="BM146" s="4">
        <f>IF(O145&lt;=0,0,MIN(BC146,AS146))</f>
      </c>
      <c r="BN146" s="4">
        <f>IF(P145&lt;=0,0,MIN(BD146,AT146))</f>
      </c>
    </row>
    <row r="147" spans="1:66" x14ac:dyDescent="0.25">
      <c r="A147">
        <v>120</v>
      </c>
      <c r="B147" s="7">
        <f>EDATE($B$17,120)</f>
      </c>
      <c r="C147" s="4">
        <f>SUM(G147:P147)</f>
      </c>
      <c r="D147" s="4">
        <f>SUM(Q147:Z147)</f>
      </c>
      <c r="E147" s="4">
        <f>SUM(AA147:AJ147)+SUM(BE147:BN147)</f>
      </c>
      <c r="G147" s="4">
        <f>MAX(0,AK147-BE147)</f>
      </c>
      <c r="H147" s="4">
        <f>MAX(0,AL147-BF147)</f>
      </c>
      <c r="I147" s="4">
        <f>MAX(0,AM147-BG147)</f>
      </c>
      <c r="J147" s="4">
        <f>MAX(0,AN147-BH147)</f>
      </c>
      <c r="K147" s="4">
        <f>MAX(0,AO147-BI147)</f>
      </c>
      <c r="L147" s="4">
        <f>MAX(0,AP147-BJ147)</f>
      </c>
      <c r="M147" s="4">
        <f>MAX(0,AQ147-BK147)</f>
      </c>
      <c r="N147" s="4">
        <f>MAX(0,AR147-BL147)</f>
      </c>
      <c r="O147" s="4">
        <f>MAX(0,AS147-BM147)</f>
      </c>
      <c r="P147" s="4">
        <f>MAX(0,AT147-BN147)</f>
      </c>
      <c r="Q147" s="4">
        <f>IF(G146&gt;0,G146*($J$5/100/12),0)</f>
      </c>
      <c r="R147" s="4">
        <f>IF(H146&gt;0,H146*($J$6/100/12),0)</f>
      </c>
      <c r="S147" s="4">
        <f>IF(I146&gt;0,I146*($J$7/100/12),0)</f>
      </c>
      <c r="T147" s="4">
        <f>IF(J146&gt;0,J146*($J$8/100/12),0)</f>
      </c>
      <c r="U147" s="4">
        <f>IF(K146&gt;0,K146*($J$9/100/12),0)</f>
      </c>
      <c r="V147" s="4">
        <f>IF(L146&gt;0,L146*($J$10/100/12),0)</f>
      </c>
      <c r="W147" s="4">
        <f>IF(M146&gt;0,M146*($J$11/100/12),0)</f>
      </c>
      <c r="X147" s="4">
        <f>IF(N146&gt;0,N146*($J$12/100/12),0)</f>
      </c>
      <c r="Y147" s="4">
        <f>IF(O146&gt;0,O146*($J$13/100/12),0)</f>
      </c>
      <c r="Z147" s="4">
        <f>IF(P146&gt;0,P146*($J$14/100/12),0)</f>
      </c>
      <c r="AA147" s="4">
        <f>IF(G146&lt;=0,0,MIN($K$5,(G146+Q147)))</f>
      </c>
      <c r="AB147" s="4">
        <f>IF(H146&lt;=0,0,MIN($K$6,(H146+R147)))</f>
      </c>
      <c r="AC147" s="4">
        <f>IF(I146&lt;=0,0,MIN($K$7,(I146+S147)))</f>
      </c>
      <c r="AD147" s="4">
        <f>IF(J146&lt;=0,0,MIN($K$8,(J146+T147)))</f>
      </c>
      <c r="AE147" s="4">
        <f>IF(K146&lt;=0,0,MIN($K$9,(K146+U147)))</f>
      </c>
      <c r="AF147" s="4">
        <f>IF(L146&lt;=0,0,MIN($K$10,(L146+V147)))</f>
      </c>
      <c r="AG147" s="4">
        <f>IF(M146&lt;=0,0,MIN($K$11,(M146+W147)))</f>
      </c>
      <c r="AH147" s="4">
        <f>IF(N146&lt;=0,0,MIN($K$12,(N146+X147)))</f>
      </c>
      <c r="AI147" s="4">
        <f>IF(O146&lt;=0,0,MIN($K$13,(O146+Y147)))</f>
      </c>
      <c r="AJ147" s="4">
        <f>IF(P146&lt;=0,0,MIN($K$14,(P146+Z147)))</f>
      </c>
      <c r="AK147" s="4">
        <f>(G146+Q147)-AA147</f>
      </c>
      <c r="AL147" s="4">
        <f>(H146+R147)-AB147</f>
      </c>
      <c r="AM147" s="4">
        <f>(I146+S147)-AC147</f>
      </c>
      <c r="AN147" s="4">
        <f>(J146+T147)-AD147</f>
      </c>
      <c r="AO147" s="4">
        <f>(K146+U147)-AE147</f>
      </c>
      <c r="AP147" s="4">
        <f>(L146+V147)-AF147</f>
      </c>
      <c r="AQ147" s="4">
        <f>(M146+W147)-AG147</f>
      </c>
      <c r="AR147" s="4">
        <f>(N146+X147)-AH147</f>
      </c>
      <c r="AS147" s="4">
        <f>(O146+Y147)-AI147</f>
      </c>
      <c r="AT147" s="4">
        <f>(P146+Z147)-AJ147</f>
      </c>
      <c r="AU147" s="4">
        <f>$B$16+SUM($K$5:$K$14)-SUM(AA147:AJ147)</f>
      </c>
      <c r="AV147" s="4">
        <f>AU147-BE147</f>
      </c>
      <c r="AW147" s="4">
        <f>AV147-BF147</f>
      </c>
      <c r="AX147" s="4">
        <f>AW147-BG147</f>
      </c>
      <c r="AY147" s="4">
        <f>AX147-BH147</f>
      </c>
      <c r="AZ147" s="4">
        <f>AY147-BI147</f>
      </c>
      <c r="BA147" s="4">
        <f>AZ147-BJ147</f>
      </c>
      <c r="BB147" s="4">
        <f>BA147-BK147</f>
      </c>
      <c r="BC147" s="4">
        <f>BB147-BL147</f>
      </c>
      <c r="BD147" s="4">
        <f>BC147-BM147</f>
      </c>
      <c r="BE147" s="4">
        <f>IF(G146&lt;=0,0,MIN(AU147,AK147))</f>
      </c>
      <c r="BF147" s="4">
        <f>IF(H146&lt;=0,0,MIN(AV147,AL147))</f>
      </c>
      <c r="BG147" s="4">
        <f>IF(I146&lt;=0,0,MIN(AW147,AM147))</f>
      </c>
      <c r="BH147" s="4">
        <f>IF(J146&lt;=0,0,MIN(AX147,AN147))</f>
      </c>
      <c r="BI147" s="4">
        <f>IF(K146&lt;=0,0,MIN(AY147,AO147))</f>
      </c>
      <c r="BJ147" s="4">
        <f>IF(L146&lt;=0,0,MIN(AZ147,AP147))</f>
      </c>
      <c r="BK147" s="4">
        <f>IF(M146&lt;=0,0,MIN(BA147,AQ147))</f>
      </c>
      <c r="BL147" s="4">
        <f>IF(N146&lt;=0,0,MIN(BB147,AR147))</f>
      </c>
      <c r="BM147" s="4">
        <f>IF(O146&lt;=0,0,MIN(BC147,AS147))</f>
      </c>
      <c r="BN147" s="4">
        <f>IF(P146&lt;=0,0,MIN(BD147,AT147))</f>
      </c>
    </row>
    <row r="148" spans="1:66" x14ac:dyDescent="0.25">
      <c r="A148">
        <v>121</v>
      </c>
      <c r="B148" s="7">
        <f>EDATE($B$17,121)</f>
      </c>
      <c r="C148" s="4">
        <f>SUM(G148:P148)</f>
      </c>
      <c r="D148" s="4">
        <f>SUM(Q148:Z148)</f>
      </c>
      <c r="E148" s="4">
        <f>SUM(AA148:AJ148)+SUM(BE148:BN148)</f>
      </c>
      <c r="G148" s="4">
        <f>MAX(0,AK148-BE148)</f>
      </c>
      <c r="H148" s="4">
        <f>MAX(0,AL148-BF148)</f>
      </c>
      <c r="I148" s="4">
        <f>MAX(0,AM148-BG148)</f>
      </c>
      <c r="J148" s="4">
        <f>MAX(0,AN148-BH148)</f>
      </c>
      <c r="K148" s="4">
        <f>MAX(0,AO148-BI148)</f>
      </c>
      <c r="L148" s="4">
        <f>MAX(0,AP148-BJ148)</f>
      </c>
      <c r="M148" s="4">
        <f>MAX(0,AQ148-BK148)</f>
      </c>
      <c r="N148" s="4">
        <f>MAX(0,AR148-BL148)</f>
      </c>
      <c r="O148" s="4">
        <f>MAX(0,AS148-BM148)</f>
      </c>
      <c r="P148" s="4">
        <f>MAX(0,AT148-BN148)</f>
      </c>
      <c r="Q148" s="4">
        <f>IF(G147&gt;0,G147*($J$5/100/12),0)</f>
      </c>
      <c r="R148" s="4">
        <f>IF(H147&gt;0,H147*($J$6/100/12),0)</f>
      </c>
      <c r="S148" s="4">
        <f>IF(I147&gt;0,I147*($J$7/100/12),0)</f>
      </c>
      <c r="T148" s="4">
        <f>IF(J147&gt;0,J147*($J$8/100/12),0)</f>
      </c>
      <c r="U148" s="4">
        <f>IF(K147&gt;0,K147*($J$9/100/12),0)</f>
      </c>
      <c r="V148" s="4">
        <f>IF(L147&gt;0,L147*($J$10/100/12),0)</f>
      </c>
      <c r="W148" s="4">
        <f>IF(M147&gt;0,M147*($J$11/100/12),0)</f>
      </c>
      <c r="X148" s="4">
        <f>IF(N147&gt;0,N147*($J$12/100/12),0)</f>
      </c>
      <c r="Y148" s="4">
        <f>IF(O147&gt;0,O147*($J$13/100/12),0)</f>
      </c>
      <c r="Z148" s="4">
        <f>IF(P147&gt;0,P147*($J$14/100/12),0)</f>
      </c>
      <c r="AA148" s="4">
        <f>IF(G147&lt;=0,0,MIN($K$5,(G147+Q148)))</f>
      </c>
      <c r="AB148" s="4">
        <f>IF(H147&lt;=0,0,MIN($K$6,(H147+R148)))</f>
      </c>
      <c r="AC148" s="4">
        <f>IF(I147&lt;=0,0,MIN($K$7,(I147+S148)))</f>
      </c>
      <c r="AD148" s="4">
        <f>IF(J147&lt;=0,0,MIN($K$8,(J147+T148)))</f>
      </c>
      <c r="AE148" s="4">
        <f>IF(K147&lt;=0,0,MIN($K$9,(K147+U148)))</f>
      </c>
      <c r="AF148" s="4">
        <f>IF(L147&lt;=0,0,MIN($K$10,(L147+V148)))</f>
      </c>
      <c r="AG148" s="4">
        <f>IF(M147&lt;=0,0,MIN($K$11,(M147+W148)))</f>
      </c>
      <c r="AH148" s="4">
        <f>IF(N147&lt;=0,0,MIN($K$12,(N147+X148)))</f>
      </c>
      <c r="AI148" s="4">
        <f>IF(O147&lt;=0,0,MIN($K$13,(O147+Y148)))</f>
      </c>
      <c r="AJ148" s="4">
        <f>IF(P147&lt;=0,0,MIN($K$14,(P147+Z148)))</f>
      </c>
      <c r="AK148" s="4">
        <f>(G147+Q148)-AA148</f>
      </c>
      <c r="AL148" s="4">
        <f>(H147+R148)-AB148</f>
      </c>
      <c r="AM148" s="4">
        <f>(I147+S148)-AC148</f>
      </c>
      <c r="AN148" s="4">
        <f>(J147+T148)-AD148</f>
      </c>
      <c r="AO148" s="4">
        <f>(K147+U148)-AE148</f>
      </c>
      <c r="AP148" s="4">
        <f>(L147+V148)-AF148</f>
      </c>
      <c r="AQ148" s="4">
        <f>(M147+W148)-AG148</f>
      </c>
      <c r="AR148" s="4">
        <f>(N147+X148)-AH148</f>
      </c>
      <c r="AS148" s="4">
        <f>(O147+Y148)-AI148</f>
      </c>
      <c r="AT148" s="4">
        <f>(P147+Z148)-AJ148</f>
      </c>
      <c r="AU148" s="4">
        <f>$B$16+SUM($K$5:$K$14)-SUM(AA148:AJ148)</f>
      </c>
      <c r="AV148" s="4">
        <f>AU148-BE148</f>
      </c>
      <c r="AW148" s="4">
        <f>AV148-BF148</f>
      </c>
      <c r="AX148" s="4">
        <f>AW148-BG148</f>
      </c>
      <c r="AY148" s="4">
        <f>AX148-BH148</f>
      </c>
      <c r="AZ148" s="4">
        <f>AY148-BI148</f>
      </c>
      <c r="BA148" s="4">
        <f>AZ148-BJ148</f>
      </c>
      <c r="BB148" s="4">
        <f>BA148-BK148</f>
      </c>
      <c r="BC148" s="4">
        <f>BB148-BL148</f>
      </c>
      <c r="BD148" s="4">
        <f>BC148-BM148</f>
      </c>
      <c r="BE148" s="4">
        <f>IF(G147&lt;=0,0,MIN(AU148,AK148))</f>
      </c>
      <c r="BF148" s="4">
        <f>IF(H147&lt;=0,0,MIN(AV148,AL148))</f>
      </c>
      <c r="BG148" s="4">
        <f>IF(I147&lt;=0,0,MIN(AW148,AM148))</f>
      </c>
      <c r="BH148" s="4">
        <f>IF(J147&lt;=0,0,MIN(AX148,AN148))</f>
      </c>
      <c r="BI148" s="4">
        <f>IF(K147&lt;=0,0,MIN(AY148,AO148))</f>
      </c>
      <c r="BJ148" s="4">
        <f>IF(L147&lt;=0,0,MIN(AZ148,AP148))</f>
      </c>
      <c r="BK148" s="4">
        <f>IF(M147&lt;=0,0,MIN(BA148,AQ148))</f>
      </c>
      <c r="BL148" s="4">
        <f>IF(N147&lt;=0,0,MIN(BB148,AR148))</f>
      </c>
      <c r="BM148" s="4">
        <f>IF(O147&lt;=0,0,MIN(BC148,AS148))</f>
      </c>
      <c r="BN148" s="4">
        <f>IF(P147&lt;=0,0,MIN(BD148,AT148))</f>
      </c>
    </row>
    <row r="149" spans="1:66" x14ac:dyDescent="0.25">
      <c r="A149">
        <v>122</v>
      </c>
      <c r="B149" s="7">
        <f>EDATE($B$17,122)</f>
      </c>
      <c r="C149" s="4">
        <f>SUM(G149:P149)</f>
      </c>
      <c r="D149" s="4">
        <f>SUM(Q149:Z149)</f>
      </c>
      <c r="E149" s="4">
        <f>SUM(AA149:AJ149)+SUM(BE149:BN149)</f>
      </c>
      <c r="G149" s="4">
        <f>MAX(0,AK149-BE149)</f>
      </c>
      <c r="H149" s="4">
        <f>MAX(0,AL149-BF149)</f>
      </c>
      <c r="I149" s="4">
        <f>MAX(0,AM149-BG149)</f>
      </c>
      <c r="J149" s="4">
        <f>MAX(0,AN149-BH149)</f>
      </c>
      <c r="K149" s="4">
        <f>MAX(0,AO149-BI149)</f>
      </c>
      <c r="L149" s="4">
        <f>MAX(0,AP149-BJ149)</f>
      </c>
      <c r="M149" s="4">
        <f>MAX(0,AQ149-BK149)</f>
      </c>
      <c r="N149" s="4">
        <f>MAX(0,AR149-BL149)</f>
      </c>
      <c r="O149" s="4">
        <f>MAX(0,AS149-BM149)</f>
      </c>
      <c r="P149" s="4">
        <f>MAX(0,AT149-BN149)</f>
      </c>
      <c r="Q149" s="4">
        <f>IF(G148&gt;0,G148*($J$5/100/12),0)</f>
      </c>
      <c r="R149" s="4">
        <f>IF(H148&gt;0,H148*($J$6/100/12),0)</f>
      </c>
      <c r="S149" s="4">
        <f>IF(I148&gt;0,I148*($J$7/100/12),0)</f>
      </c>
      <c r="T149" s="4">
        <f>IF(J148&gt;0,J148*($J$8/100/12),0)</f>
      </c>
      <c r="U149" s="4">
        <f>IF(K148&gt;0,K148*($J$9/100/12),0)</f>
      </c>
      <c r="V149" s="4">
        <f>IF(L148&gt;0,L148*($J$10/100/12),0)</f>
      </c>
      <c r="W149" s="4">
        <f>IF(M148&gt;0,M148*($J$11/100/12),0)</f>
      </c>
      <c r="X149" s="4">
        <f>IF(N148&gt;0,N148*($J$12/100/12),0)</f>
      </c>
      <c r="Y149" s="4">
        <f>IF(O148&gt;0,O148*($J$13/100/12),0)</f>
      </c>
      <c r="Z149" s="4">
        <f>IF(P148&gt;0,P148*($J$14/100/12),0)</f>
      </c>
      <c r="AA149" s="4">
        <f>IF(G148&lt;=0,0,MIN($K$5,(G148+Q149)))</f>
      </c>
      <c r="AB149" s="4">
        <f>IF(H148&lt;=0,0,MIN($K$6,(H148+R149)))</f>
      </c>
      <c r="AC149" s="4">
        <f>IF(I148&lt;=0,0,MIN($K$7,(I148+S149)))</f>
      </c>
      <c r="AD149" s="4">
        <f>IF(J148&lt;=0,0,MIN($K$8,(J148+T149)))</f>
      </c>
      <c r="AE149" s="4">
        <f>IF(K148&lt;=0,0,MIN($K$9,(K148+U149)))</f>
      </c>
      <c r="AF149" s="4">
        <f>IF(L148&lt;=0,0,MIN($K$10,(L148+V149)))</f>
      </c>
      <c r="AG149" s="4">
        <f>IF(M148&lt;=0,0,MIN($K$11,(M148+W149)))</f>
      </c>
      <c r="AH149" s="4">
        <f>IF(N148&lt;=0,0,MIN($K$12,(N148+X149)))</f>
      </c>
      <c r="AI149" s="4">
        <f>IF(O148&lt;=0,0,MIN($K$13,(O148+Y149)))</f>
      </c>
      <c r="AJ149" s="4">
        <f>IF(P148&lt;=0,0,MIN($K$14,(P148+Z149)))</f>
      </c>
      <c r="AK149" s="4">
        <f>(G148+Q149)-AA149</f>
      </c>
      <c r="AL149" s="4">
        <f>(H148+R149)-AB149</f>
      </c>
      <c r="AM149" s="4">
        <f>(I148+S149)-AC149</f>
      </c>
      <c r="AN149" s="4">
        <f>(J148+T149)-AD149</f>
      </c>
      <c r="AO149" s="4">
        <f>(K148+U149)-AE149</f>
      </c>
      <c r="AP149" s="4">
        <f>(L148+V149)-AF149</f>
      </c>
      <c r="AQ149" s="4">
        <f>(M148+W149)-AG149</f>
      </c>
      <c r="AR149" s="4">
        <f>(N148+X149)-AH149</f>
      </c>
      <c r="AS149" s="4">
        <f>(O148+Y149)-AI149</f>
      </c>
      <c r="AT149" s="4">
        <f>(P148+Z149)-AJ149</f>
      </c>
      <c r="AU149" s="4">
        <f>$B$16+SUM($K$5:$K$14)-SUM(AA149:AJ149)</f>
      </c>
      <c r="AV149" s="4">
        <f>AU149-BE149</f>
      </c>
      <c r="AW149" s="4">
        <f>AV149-BF149</f>
      </c>
      <c r="AX149" s="4">
        <f>AW149-BG149</f>
      </c>
      <c r="AY149" s="4">
        <f>AX149-BH149</f>
      </c>
      <c r="AZ149" s="4">
        <f>AY149-BI149</f>
      </c>
      <c r="BA149" s="4">
        <f>AZ149-BJ149</f>
      </c>
      <c r="BB149" s="4">
        <f>BA149-BK149</f>
      </c>
      <c r="BC149" s="4">
        <f>BB149-BL149</f>
      </c>
      <c r="BD149" s="4">
        <f>BC149-BM149</f>
      </c>
      <c r="BE149" s="4">
        <f>IF(G148&lt;=0,0,MIN(AU149,AK149))</f>
      </c>
      <c r="BF149" s="4">
        <f>IF(H148&lt;=0,0,MIN(AV149,AL149))</f>
      </c>
      <c r="BG149" s="4">
        <f>IF(I148&lt;=0,0,MIN(AW149,AM149))</f>
      </c>
      <c r="BH149" s="4">
        <f>IF(J148&lt;=0,0,MIN(AX149,AN149))</f>
      </c>
      <c r="BI149" s="4">
        <f>IF(K148&lt;=0,0,MIN(AY149,AO149))</f>
      </c>
      <c r="BJ149" s="4">
        <f>IF(L148&lt;=0,0,MIN(AZ149,AP149))</f>
      </c>
      <c r="BK149" s="4">
        <f>IF(M148&lt;=0,0,MIN(BA149,AQ149))</f>
      </c>
      <c r="BL149" s="4">
        <f>IF(N148&lt;=0,0,MIN(BB149,AR149))</f>
      </c>
      <c r="BM149" s="4">
        <f>IF(O148&lt;=0,0,MIN(BC149,AS149))</f>
      </c>
      <c r="BN149" s="4">
        <f>IF(P148&lt;=0,0,MIN(BD149,AT149))</f>
      </c>
    </row>
    <row r="150" spans="1:66" x14ac:dyDescent="0.25">
      <c r="A150">
        <v>123</v>
      </c>
      <c r="B150" s="7">
        <f>EDATE($B$17,123)</f>
      </c>
      <c r="C150" s="4">
        <f>SUM(G150:P150)</f>
      </c>
      <c r="D150" s="4">
        <f>SUM(Q150:Z150)</f>
      </c>
      <c r="E150" s="4">
        <f>SUM(AA150:AJ150)+SUM(BE150:BN150)</f>
      </c>
      <c r="G150" s="4">
        <f>MAX(0,AK150-BE150)</f>
      </c>
      <c r="H150" s="4">
        <f>MAX(0,AL150-BF150)</f>
      </c>
      <c r="I150" s="4">
        <f>MAX(0,AM150-BG150)</f>
      </c>
      <c r="J150" s="4">
        <f>MAX(0,AN150-BH150)</f>
      </c>
      <c r="K150" s="4">
        <f>MAX(0,AO150-BI150)</f>
      </c>
      <c r="L150" s="4">
        <f>MAX(0,AP150-BJ150)</f>
      </c>
      <c r="M150" s="4">
        <f>MAX(0,AQ150-BK150)</f>
      </c>
      <c r="N150" s="4">
        <f>MAX(0,AR150-BL150)</f>
      </c>
      <c r="O150" s="4">
        <f>MAX(0,AS150-BM150)</f>
      </c>
      <c r="P150" s="4">
        <f>MAX(0,AT150-BN150)</f>
      </c>
      <c r="Q150" s="4">
        <f>IF(G149&gt;0,G149*($J$5/100/12),0)</f>
      </c>
      <c r="R150" s="4">
        <f>IF(H149&gt;0,H149*($J$6/100/12),0)</f>
      </c>
      <c r="S150" s="4">
        <f>IF(I149&gt;0,I149*($J$7/100/12),0)</f>
      </c>
      <c r="T150" s="4">
        <f>IF(J149&gt;0,J149*($J$8/100/12),0)</f>
      </c>
      <c r="U150" s="4">
        <f>IF(K149&gt;0,K149*($J$9/100/12),0)</f>
      </c>
      <c r="V150" s="4">
        <f>IF(L149&gt;0,L149*($J$10/100/12),0)</f>
      </c>
      <c r="W150" s="4">
        <f>IF(M149&gt;0,M149*($J$11/100/12),0)</f>
      </c>
      <c r="X150" s="4">
        <f>IF(N149&gt;0,N149*($J$12/100/12),0)</f>
      </c>
      <c r="Y150" s="4">
        <f>IF(O149&gt;0,O149*($J$13/100/12),0)</f>
      </c>
      <c r="Z150" s="4">
        <f>IF(P149&gt;0,P149*($J$14/100/12),0)</f>
      </c>
      <c r="AA150" s="4">
        <f>IF(G149&lt;=0,0,MIN($K$5,(G149+Q150)))</f>
      </c>
      <c r="AB150" s="4">
        <f>IF(H149&lt;=0,0,MIN($K$6,(H149+R150)))</f>
      </c>
      <c r="AC150" s="4">
        <f>IF(I149&lt;=0,0,MIN($K$7,(I149+S150)))</f>
      </c>
      <c r="AD150" s="4">
        <f>IF(J149&lt;=0,0,MIN($K$8,(J149+T150)))</f>
      </c>
      <c r="AE150" s="4">
        <f>IF(K149&lt;=0,0,MIN($K$9,(K149+U150)))</f>
      </c>
      <c r="AF150" s="4">
        <f>IF(L149&lt;=0,0,MIN($K$10,(L149+V150)))</f>
      </c>
      <c r="AG150" s="4">
        <f>IF(M149&lt;=0,0,MIN($K$11,(M149+W150)))</f>
      </c>
      <c r="AH150" s="4">
        <f>IF(N149&lt;=0,0,MIN($K$12,(N149+X150)))</f>
      </c>
      <c r="AI150" s="4">
        <f>IF(O149&lt;=0,0,MIN($K$13,(O149+Y150)))</f>
      </c>
      <c r="AJ150" s="4">
        <f>IF(P149&lt;=0,0,MIN($K$14,(P149+Z150)))</f>
      </c>
      <c r="AK150" s="4">
        <f>(G149+Q150)-AA150</f>
      </c>
      <c r="AL150" s="4">
        <f>(H149+R150)-AB150</f>
      </c>
      <c r="AM150" s="4">
        <f>(I149+S150)-AC150</f>
      </c>
      <c r="AN150" s="4">
        <f>(J149+T150)-AD150</f>
      </c>
      <c r="AO150" s="4">
        <f>(K149+U150)-AE150</f>
      </c>
      <c r="AP150" s="4">
        <f>(L149+V150)-AF150</f>
      </c>
      <c r="AQ150" s="4">
        <f>(M149+W150)-AG150</f>
      </c>
      <c r="AR150" s="4">
        <f>(N149+X150)-AH150</f>
      </c>
      <c r="AS150" s="4">
        <f>(O149+Y150)-AI150</f>
      </c>
      <c r="AT150" s="4">
        <f>(P149+Z150)-AJ150</f>
      </c>
      <c r="AU150" s="4">
        <f>$B$16+SUM($K$5:$K$14)-SUM(AA150:AJ150)</f>
      </c>
      <c r="AV150" s="4">
        <f>AU150-BE150</f>
      </c>
      <c r="AW150" s="4">
        <f>AV150-BF150</f>
      </c>
      <c r="AX150" s="4">
        <f>AW150-BG150</f>
      </c>
      <c r="AY150" s="4">
        <f>AX150-BH150</f>
      </c>
      <c r="AZ150" s="4">
        <f>AY150-BI150</f>
      </c>
      <c r="BA150" s="4">
        <f>AZ150-BJ150</f>
      </c>
      <c r="BB150" s="4">
        <f>BA150-BK150</f>
      </c>
      <c r="BC150" s="4">
        <f>BB150-BL150</f>
      </c>
      <c r="BD150" s="4">
        <f>BC150-BM150</f>
      </c>
      <c r="BE150" s="4">
        <f>IF(G149&lt;=0,0,MIN(AU150,AK150))</f>
      </c>
      <c r="BF150" s="4">
        <f>IF(H149&lt;=0,0,MIN(AV150,AL150))</f>
      </c>
      <c r="BG150" s="4">
        <f>IF(I149&lt;=0,0,MIN(AW150,AM150))</f>
      </c>
      <c r="BH150" s="4">
        <f>IF(J149&lt;=0,0,MIN(AX150,AN150))</f>
      </c>
      <c r="BI150" s="4">
        <f>IF(K149&lt;=0,0,MIN(AY150,AO150))</f>
      </c>
      <c r="BJ150" s="4">
        <f>IF(L149&lt;=0,0,MIN(AZ150,AP150))</f>
      </c>
      <c r="BK150" s="4">
        <f>IF(M149&lt;=0,0,MIN(BA150,AQ150))</f>
      </c>
      <c r="BL150" s="4">
        <f>IF(N149&lt;=0,0,MIN(BB150,AR150))</f>
      </c>
      <c r="BM150" s="4">
        <f>IF(O149&lt;=0,0,MIN(BC150,AS150))</f>
      </c>
      <c r="BN150" s="4">
        <f>IF(P149&lt;=0,0,MIN(BD150,AT150))</f>
      </c>
    </row>
    <row r="151" spans="1:66" x14ac:dyDescent="0.25">
      <c r="A151">
        <v>124</v>
      </c>
      <c r="B151" s="7">
        <f>EDATE($B$17,124)</f>
      </c>
      <c r="C151" s="4">
        <f>SUM(G151:P151)</f>
      </c>
      <c r="D151" s="4">
        <f>SUM(Q151:Z151)</f>
      </c>
      <c r="E151" s="4">
        <f>SUM(AA151:AJ151)+SUM(BE151:BN151)</f>
      </c>
      <c r="G151" s="4">
        <f>MAX(0,AK151-BE151)</f>
      </c>
      <c r="H151" s="4">
        <f>MAX(0,AL151-BF151)</f>
      </c>
      <c r="I151" s="4">
        <f>MAX(0,AM151-BG151)</f>
      </c>
      <c r="J151" s="4">
        <f>MAX(0,AN151-BH151)</f>
      </c>
      <c r="K151" s="4">
        <f>MAX(0,AO151-BI151)</f>
      </c>
      <c r="L151" s="4">
        <f>MAX(0,AP151-BJ151)</f>
      </c>
      <c r="M151" s="4">
        <f>MAX(0,AQ151-BK151)</f>
      </c>
      <c r="N151" s="4">
        <f>MAX(0,AR151-BL151)</f>
      </c>
      <c r="O151" s="4">
        <f>MAX(0,AS151-BM151)</f>
      </c>
      <c r="P151" s="4">
        <f>MAX(0,AT151-BN151)</f>
      </c>
      <c r="Q151" s="4">
        <f>IF(G150&gt;0,G150*($J$5/100/12),0)</f>
      </c>
      <c r="R151" s="4">
        <f>IF(H150&gt;0,H150*($J$6/100/12),0)</f>
      </c>
      <c r="S151" s="4">
        <f>IF(I150&gt;0,I150*($J$7/100/12),0)</f>
      </c>
      <c r="T151" s="4">
        <f>IF(J150&gt;0,J150*($J$8/100/12),0)</f>
      </c>
      <c r="U151" s="4">
        <f>IF(K150&gt;0,K150*($J$9/100/12),0)</f>
      </c>
      <c r="V151" s="4">
        <f>IF(L150&gt;0,L150*($J$10/100/12),0)</f>
      </c>
      <c r="W151" s="4">
        <f>IF(M150&gt;0,M150*($J$11/100/12),0)</f>
      </c>
      <c r="X151" s="4">
        <f>IF(N150&gt;0,N150*($J$12/100/12),0)</f>
      </c>
      <c r="Y151" s="4">
        <f>IF(O150&gt;0,O150*($J$13/100/12),0)</f>
      </c>
      <c r="Z151" s="4">
        <f>IF(P150&gt;0,P150*($J$14/100/12),0)</f>
      </c>
      <c r="AA151" s="4">
        <f>IF(G150&lt;=0,0,MIN($K$5,(G150+Q151)))</f>
      </c>
      <c r="AB151" s="4">
        <f>IF(H150&lt;=0,0,MIN($K$6,(H150+R151)))</f>
      </c>
      <c r="AC151" s="4">
        <f>IF(I150&lt;=0,0,MIN($K$7,(I150+S151)))</f>
      </c>
      <c r="AD151" s="4">
        <f>IF(J150&lt;=0,0,MIN($K$8,(J150+T151)))</f>
      </c>
      <c r="AE151" s="4">
        <f>IF(K150&lt;=0,0,MIN($K$9,(K150+U151)))</f>
      </c>
      <c r="AF151" s="4">
        <f>IF(L150&lt;=0,0,MIN($K$10,(L150+V151)))</f>
      </c>
      <c r="AG151" s="4">
        <f>IF(M150&lt;=0,0,MIN($K$11,(M150+W151)))</f>
      </c>
      <c r="AH151" s="4">
        <f>IF(N150&lt;=0,0,MIN($K$12,(N150+X151)))</f>
      </c>
      <c r="AI151" s="4">
        <f>IF(O150&lt;=0,0,MIN($K$13,(O150+Y151)))</f>
      </c>
      <c r="AJ151" s="4">
        <f>IF(P150&lt;=0,0,MIN($K$14,(P150+Z151)))</f>
      </c>
      <c r="AK151" s="4">
        <f>(G150+Q151)-AA151</f>
      </c>
      <c r="AL151" s="4">
        <f>(H150+R151)-AB151</f>
      </c>
      <c r="AM151" s="4">
        <f>(I150+S151)-AC151</f>
      </c>
      <c r="AN151" s="4">
        <f>(J150+T151)-AD151</f>
      </c>
      <c r="AO151" s="4">
        <f>(K150+U151)-AE151</f>
      </c>
      <c r="AP151" s="4">
        <f>(L150+V151)-AF151</f>
      </c>
      <c r="AQ151" s="4">
        <f>(M150+W151)-AG151</f>
      </c>
      <c r="AR151" s="4">
        <f>(N150+X151)-AH151</f>
      </c>
      <c r="AS151" s="4">
        <f>(O150+Y151)-AI151</f>
      </c>
      <c r="AT151" s="4">
        <f>(P150+Z151)-AJ151</f>
      </c>
      <c r="AU151" s="4">
        <f>$B$16+SUM($K$5:$K$14)-SUM(AA151:AJ151)</f>
      </c>
      <c r="AV151" s="4">
        <f>AU151-BE151</f>
      </c>
      <c r="AW151" s="4">
        <f>AV151-BF151</f>
      </c>
      <c r="AX151" s="4">
        <f>AW151-BG151</f>
      </c>
      <c r="AY151" s="4">
        <f>AX151-BH151</f>
      </c>
      <c r="AZ151" s="4">
        <f>AY151-BI151</f>
      </c>
      <c r="BA151" s="4">
        <f>AZ151-BJ151</f>
      </c>
      <c r="BB151" s="4">
        <f>BA151-BK151</f>
      </c>
      <c r="BC151" s="4">
        <f>BB151-BL151</f>
      </c>
      <c r="BD151" s="4">
        <f>BC151-BM151</f>
      </c>
      <c r="BE151" s="4">
        <f>IF(G150&lt;=0,0,MIN(AU151,AK151))</f>
      </c>
      <c r="BF151" s="4">
        <f>IF(H150&lt;=0,0,MIN(AV151,AL151))</f>
      </c>
      <c r="BG151" s="4">
        <f>IF(I150&lt;=0,0,MIN(AW151,AM151))</f>
      </c>
      <c r="BH151" s="4">
        <f>IF(J150&lt;=0,0,MIN(AX151,AN151))</f>
      </c>
      <c r="BI151" s="4">
        <f>IF(K150&lt;=0,0,MIN(AY151,AO151))</f>
      </c>
      <c r="BJ151" s="4">
        <f>IF(L150&lt;=0,0,MIN(AZ151,AP151))</f>
      </c>
      <c r="BK151" s="4">
        <f>IF(M150&lt;=0,0,MIN(BA151,AQ151))</f>
      </c>
      <c r="BL151" s="4">
        <f>IF(N150&lt;=0,0,MIN(BB151,AR151))</f>
      </c>
      <c r="BM151" s="4">
        <f>IF(O150&lt;=0,0,MIN(BC151,AS151))</f>
      </c>
      <c r="BN151" s="4">
        <f>IF(P150&lt;=0,0,MIN(BD151,AT151))</f>
      </c>
    </row>
    <row r="152" spans="1:66" x14ac:dyDescent="0.25">
      <c r="A152">
        <v>125</v>
      </c>
      <c r="B152" s="7">
        <f>EDATE($B$17,125)</f>
      </c>
      <c r="C152" s="4">
        <f>SUM(G152:P152)</f>
      </c>
      <c r="D152" s="4">
        <f>SUM(Q152:Z152)</f>
      </c>
      <c r="E152" s="4">
        <f>SUM(AA152:AJ152)+SUM(BE152:BN152)</f>
      </c>
      <c r="G152" s="4">
        <f>MAX(0,AK152-BE152)</f>
      </c>
      <c r="H152" s="4">
        <f>MAX(0,AL152-BF152)</f>
      </c>
      <c r="I152" s="4">
        <f>MAX(0,AM152-BG152)</f>
      </c>
      <c r="J152" s="4">
        <f>MAX(0,AN152-BH152)</f>
      </c>
      <c r="K152" s="4">
        <f>MAX(0,AO152-BI152)</f>
      </c>
      <c r="L152" s="4">
        <f>MAX(0,AP152-BJ152)</f>
      </c>
      <c r="M152" s="4">
        <f>MAX(0,AQ152-BK152)</f>
      </c>
      <c r="N152" s="4">
        <f>MAX(0,AR152-BL152)</f>
      </c>
      <c r="O152" s="4">
        <f>MAX(0,AS152-BM152)</f>
      </c>
      <c r="P152" s="4">
        <f>MAX(0,AT152-BN152)</f>
      </c>
      <c r="Q152" s="4">
        <f>IF(G151&gt;0,G151*($J$5/100/12),0)</f>
      </c>
      <c r="R152" s="4">
        <f>IF(H151&gt;0,H151*($J$6/100/12),0)</f>
      </c>
      <c r="S152" s="4">
        <f>IF(I151&gt;0,I151*($J$7/100/12),0)</f>
      </c>
      <c r="T152" s="4">
        <f>IF(J151&gt;0,J151*($J$8/100/12),0)</f>
      </c>
      <c r="U152" s="4">
        <f>IF(K151&gt;0,K151*($J$9/100/12),0)</f>
      </c>
      <c r="V152" s="4">
        <f>IF(L151&gt;0,L151*($J$10/100/12),0)</f>
      </c>
      <c r="W152" s="4">
        <f>IF(M151&gt;0,M151*($J$11/100/12),0)</f>
      </c>
      <c r="X152" s="4">
        <f>IF(N151&gt;0,N151*($J$12/100/12),0)</f>
      </c>
      <c r="Y152" s="4">
        <f>IF(O151&gt;0,O151*($J$13/100/12),0)</f>
      </c>
      <c r="Z152" s="4">
        <f>IF(P151&gt;0,P151*($J$14/100/12),0)</f>
      </c>
      <c r="AA152" s="4">
        <f>IF(G151&lt;=0,0,MIN($K$5,(G151+Q152)))</f>
      </c>
      <c r="AB152" s="4">
        <f>IF(H151&lt;=0,0,MIN($K$6,(H151+R152)))</f>
      </c>
      <c r="AC152" s="4">
        <f>IF(I151&lt;=0,0,MIN($K$7,(I151+S152)))</f>
      </c>
      <c r="AD152" s="4">
        <f>IF(J151&lt;=0,0,MIN($K$8,(J151+T152)))</f>
      </c>
      <c r="AE152" s="4">
        <f>IF(K151&lt;=0,0,MIN($K$9,(K151+U152)))</f>
      </c>
      <c r="AF152" s="4">
        <f>IF(L151&lt;=0,0,MIN($K$10,(L151+V152)))</f>
      </c>
      <c r="AG152" s="4">
        <f>IF(M151&lt;=0,0,MIN($K$11,(M151+W152)))</f>
      </c>
      <c r="AH152" s="4">
        <f>IF(N151&lt;=0,0,MIN($K$12,(N151+X152)))</f>
      </c>
      <c r="AI152" s="4">
        <f>IF(O151&lt;=0,0,MIN($K$13,(O151+Y152)))</f>
      </c>
      <c r="AJ152" s="4">
        <f>IF(P151&lt;=0,0,MIN($K$14,(P151+Z152)))</f>
      </c>
      <c r="AK152" s="4">
        <f>(G151+Q152)-AA152</f>
      </c>
      <c r="AL152" s="4">
        <f>(H151+R152)-AB152</f>
      </c>
      <c r="AM152" s="4">
        <f>(I151+S152)-AC152</f>
      </c>
      <c r="AN152" s="4">
        <f>(J151+T152)-AD152</f>
      </c>
      <c r="AO152" s="4">
        <f>(K151+U152)-AE152</f>
      </c>
      <c r="AP152" s="4">
        <f>(L151+V152)-AF152</f>
      </c>
      <c r="AQ152" s="4">
        <f>(M151+W152)-AG152</f>
      </c>
      <c r="AR152" s="4">
        <f>(N151+X152)-AH152</f>
      </c>
      <c r="AS152" s="4">
        <f>(O151+Y152)-AI152</f>
      </c>
      <c r="AT152" s="4">
        <f>(P151+Z152)-AJ152</f>
      </c>
      <c r="AU152" s="4">
        <f>$B$16+SUM($K$5:$K$14)-SUM(AA152:AJ152)</f>
      </c>
      <c r="AV152" s="4">
        <f>AU152-BE152</f>
      </c>
      <c r="AW152" s="4">
        <f>AV152-BF152</f>
      </c>
      <c r="AX152" s="4">
        <f>AW152-BG152</f>
      </c>
      <c r="AY152" s="4">
        <f>AX152-BH152</f>
      </c>
      <c r="AZ152" s="4">
        <f>AY152-BI152</f>
      </c>
      <c r="BA152" s="4">
        <f>AZ152-BJ152</f>
      </c>
      <c r="BB152" s="4">
        <f>BA152-BK152</f>
      </c>
      <c r="BC152" s="4">
        <f>BB152-BL152</f>
      </c>
      <c r="BD152" s="4">
        <f>BC152-BM152</f>
      </c>
      <c r="BE152" s="4">
        <f>IF(G151&lt;=0,0,MIN(AU152,AK152))</f>
      </c>
      <c r="BF152" s="4">
        <f>IF(H151&lt;=0,0,MIN(AV152,AL152))</f>
      </c>
      <c r="BG152" s="4">
        <f>IF(I151&lt;=0,0,MIN(AW152,AM152))</f>
      </c>
      <c r="BH152" s="4">
        <f>IF(J151&lt;=0,0,MIN(AX152,AN152))</f>
      </c>
      <c r="BI152" s="4">
        <f>IF(K151&lt;=0,0,MIN(AY152,AO152))</f>
      </c>
      <c r="BJ152" s="4">
        <f>IF(L151&lt;=0,0,MIN(AZ152,AP152))</f>
      </c>
      <c r="BK152" s="4">
        <f>IF(M151&lt;=0,0,MIN(BA152,AQ152))</f>
      </c>
      <c r="BL152" s="4">
        <f>IF(N151&lt;=0,0,MIN(BB152,AR152))</f>
      </c>
      <c r="BM152" s="4">
        <f>IF(O151&lt;=0,0,MIN(BC152,AS152))</f>
      </c>
      <c r="BN152" s="4">
        <f>IF(P151&lt;=0,0,MIN(BD152,AT152))</f>
      </c>
    </row>
    <row r="153" spans="1:66" x14ac:dyDescent="0.25">
      <c r="A153">
        <v>126</v>
      </c>
      <c r="B153" s="7">
        <f>EDATE($B$17,126)</f>
      </c>
      <c r="C153" s="4">
        <f>SUM(G153:P153)</f>
      </c>
      <c r="D153" s="4">
        <f>SUM(Q153:Z153)</f>
      </c>
      <c r="E153" s="4">
        <f>SUM(AA153:AJ153)+SUM(BE153:BN153)</f>
      </c>
      <c r="G153" s="4">
        <f>MAX(0,AK153-BE153)</f>
      </c>
      <c r="H153" s="4">
        <f>MAX(0,AL153-BF153)</f>
      </c>
      <c r="I153" s="4">
        <f>MAX(0,AM153-BG153)</f>
      </c>
      <c r="J153" s="4">
        <f>MAX(0,AN153-BH153)</f>
      </c>
      <c r="K153" s="4">
        <f>MAX(0,AO153-BI153)</f>
      </c>
      <c r="L153" s="4">
        <f>MAX(0,AP153-BJ153)</f>
      </c>
      <c r="M153" s="4">
        <f>MAX(0,AQ153-BK153)</f>
      </c>
      <c r="N153" s="4">
        <f>MAX(0,AR153-BL153)</f>
      </c>
      <c r="O153" s="4">
        <f>MAX(0,AS153-BM153)</f>
      </c>
      <c r="P153" s="4">
        <f>MAX(0,AT153-BN153)</f>
      </c>
      <c r="Q153" s="4">
        <f>IF(G152&gt;0,G152*($J$5/100/12),0)</f>
      </c>
      <c r="R153" s="4">
        <f>IF(H152&gt;0,H152*($J$6/100/12),0)</f>
      </c>
      <c r="S153" s="4">
        <f>IF(I152&gt;0,I152*($J$7/100/12),0)</f>
      </c>
      <c r="T153" s="4">
        <f>IF(J152&gt;0,J152*($J$8/100/12),0)</f>
      </c>
      <c r="U153" s="4">
        <f>IF(K152&gt;0,K152*($J$9/100/12),0)</f>
      </c>
      <c r="V153" s="4">
        <f>IF(L152&gt;0,L152*($J$10/100/12),0)</f>
      </c>
      <c r="W153" s="4">
        <f>IF(M152&gt;0,M152*($J$11/100/12),0)</f>
      </c>
      <c r="X153" s="4">
        <f>IF(N152&gt;0,N152*($J$12/100/12),0)</f>
      </c>
      <c r="Y153" s="4">
        <f>IF(O152&gt;0,O152*($J$13/100/12),0)</f>
      </c>
      <c r="Z153" s="4">
        <f>IF(P152&gt;0,P152*($J$14/100/12),0)</f>
      </c>
      <c r="AA153" s="4">
        <f>IF(G152&lt;=0,0,MIN($K$5,(G152+Q153)))</f>
      </c>
      <c r="AB153" s="4">
        <f>IF(H152&lt;=0,0,MIN($K$6,(H152+R153)))</f>
      </c>
      <c r="AC153" s="4">
        <f>IF(I152&lt;=0,0,MIN($K$7,(I152+S153)))</f>
      </c>
      <c r="AD153" s="4">
        <f>IF(J152&lt;=0,0,MIN($K$8,(J152+T153)))</f>
      </c>
      <c r="AE153" s="4">
        <f>IF(K152&lt;=0,0,MIN($K$9,(K152+U153)))</f>
      </c>
      <c r="AF153" s="4">
        <f>IF(L152&lt;=0,0,MIN($K$10,(L152+V153)))</f>
      </c>
      <c r="AG153" s="4">
        <f>IF(M152&lt;=0,0,MIN($K$11,(M152+W153)))</f>
      </c>
      <c r="AH153" s="4">
        <f>IF(N152&lt;=0,0,MIN($K$12,(N152+X153)))</f>
      </c>
      <c r="AI153" s="4">
        <f>IF(O152&lt;=0,0,MIN($K$13,(O152+Y153)))</f>
      </c>
      <c r="AJ153" s="4">
        <f>IF(P152&lt;=0,0,MIN($K$14,(P152+Z153)))</f>
      </c>
      <c r="AK153" s="4">
        <f>(G152+Q153)-AA153</f>
      </c>
      <c r="AL153" s="4">
        <f>(H152+R153)-AB153</f>
      </c>
      <c r="AM153" s="4">
        <f>(I152+S153)-AC153</f>
      </c>
      <c r="AN153" s="4">
        <f>(J152+T153)-AD153</f>
      </c>
      <c r="AO153" s="4">
        <f>(K152+U153)-AE153</f>
      </c>
      <c r="AP153" s="4">
        <f>(L152+V153)-AF153</f>
      </c>
      <c r="AQ153" s="4">
        <f>(M152+W153)-AG153</f>
      </c>
      <c r="AR153" s="4">
        <f>(N152+X153)-AH153</f>
      </c>
      <c r="AS153" s="4">
        <f>(O152+Y153)-AI153</f>
      </c>
      <c r="AT153" s="4">
        <f>(P152+Z153)-AJ153</f>
      </c>
      <c r="AU153" s="4">
        <f>$B$16+SUM($K$5:$K$14)-SUM(AA153:AJ153)</f>
      </c>
      <c r="AV153" s="4">
        <f>AU153-BE153</f>
      </c>
      <c r="AW153" s="4">
        <f>AV153-BF153</f>
      </c>
      <c r="AX153" s="4">
        <f>AW153-BG153</f>
      </c>
      <c r="AY153" s="4">
        <f>AX153-BH153</f>
      </c>
      <c r="AZ153" s="4">
        <f>AY153-BI153</f>
      </c>
      <c r="BA153" s="4">
        <f>AZ153-BJ153</f>
      </c>
      <c r="BB153" s="4">
        <f>BA153-BK153</f>
      </c>
      <c r="BC153" s="4">
        <f>BB153-BL153</f>
      </c>
      <c r="BD153" s="4">
        <f>BC153-BM153</f>
      </c>
      <c r="BE153" s="4">
        <f>IF(G152&lt;=0,0,MIN(AU153,AK153))</f>
      </c>
      <c r="BF153" s="4">
        <f>IF(H152&lt;=0,0,MIN(AV153,AL153))</f>
      </c>
      <c r="BG153" s="4">
        <f>IF(I152&lt;=0,0,MIN(AW153,AM153))</f>
      </c>
      <c r="BH153" s="4">
        <f>IF(J152&lt;=0,0,MIN(AX153,AN153))</f>
      </c>
      <c r="BI153" s="4">
        <f>IF(K152&lt;=0,0,MIN(AY153,AO153))</f>
      </c>
      <c r="BJ153" s="4">
        <f>IF(L152&lt;=0,0,MIN(AZ153,AP153))</f>
      </c>
      <c r="BK153" s="4">
        <f>IF(M152&lt;=0,0,MIN(BA153,AQ153))</f>
      </c>
      <c r="BL153" s="4">
        <f>IF(N152&lt;=0,0,MIN(BB153,AR153))</f>
      </c>
      <c r="BM153" s="4">
        <f>IF(O152&lt;=0,0,MIN(BC153,AS153))</f>
      </c>
      <c r="BN153" s="4">
        <f>IF(P152&lt;=0,0,MIN(BD153,AT153))</f>
      </c>
    </row>
    <row r="154" spans="1:66" x14ac:dyDescent="0.25">
      <c r="A154">
        <v>127</v>
      </c>
      <c r="B154" s="7">
        <f>EDATE($B$17,127)</f>
      </c>
      <c r="C154" s="4">
        <f>SUM(G154:P154)</f>
      </c>
      <c r="D154" s="4">
        <f>SUM(Q154:Z154)</f>
      </c>
      <c r="E154" s="4">
        <f>SUM(AA154:AJ154)+SUM(BE154:BN154)</f>
      </c>
      <c r="G154" s="4">
        <f>MAX(0,AK154-BE154)</f>
      </c>
      <c r="H154" s="4">
        <f>MAX(0,AL154-BF154)</f>
      </c>
      <c r="I154" s="4">
        <f>MAX(0,AM154-BG154)</f>
      </c>
      <c r="J154" s="4">
        <f>MAX(0,AN154-BH154)</f>
      </c>
      <c r="K154" s="4">
        <f>MAX(0,AO154-BI154)</f>
      </c>
      <c r="L154" s="4">
        <f>MAX(0,AP154-BJ154)</f>
      </c>
      <c r="M154" s="4">
        <f>MAX(0,AQ154-BK154)</f>
      </c>
      <c r="N154" s="4">
        <f>MAX(0,AR154-BL154)</f>
      </c>
      <c r="O154" s="4">
        <f>MAX(0,AS154-BM154)</f>
      </c>
      <c r="P154" s="4">
        <f>MAX(0,AT154-BN154)</f>
      </c>
      <c r="Q154" s="4">
        <f>IF(G153&gt;0,G153*($J$5/100/12),0)</f>
      </c>
      <c r="R154" s="4">
        <f>IF(H153&gt;0,H153*($J$6/100/12),0)</f>
      </c>
      <c r="S154" s="4">
        <f>IF(I153&gt;0,I153*($J$7/100/12),0)</f>
      </c>
      <c r="T154" s="4">
        <f>IF(J153&gt;0,J153*($J$8/100/12),0)</f>
      </c>
      <c r="U154" s="4">
        <f>IF(K153&gt;0,K153*($J$9/100/12),0)</f>
      </c>
      <c r="V154" s="4">
        <f>IF(L153&gt;0,L153*($J$10/100/12),0)</f>
      </c>
      <c r="W154" s="4">
        <f>IF(M153&gt;0,M153*($J$11/100/12),0)</f>
      </c>
      <c r="X154" s="4">
        <f>IF(N153&gt;0,N153*($J$12/100/12),0)</f>
      </c>
      <c r="Y154" s="4">
        <f>IF(O153&gt;0,O153*($J$13/100/12),0)</f>
      </c>
      <c r="Z154" s="4">
        <f>IF(P153&gt;0,P153*($J$14/100/12),0)</f>
      </c>
      <c r="AA154" s="4">
        <f>IF(G153&lt;=0,0,MIN($K$5,(G153+Q154)))</f>
      </c>
      <c r="AB154" s="4">
        <f>IF(H153&lt;=0,0,MIN($K$6,(H153+R154)))</f>
      </c>
      <c r="AC154" s="4">
        <f>IF(I153&lt;=0,0,MIN($K$7,(I153+S154)))</f>
      </c>
      <c r="AD154" s="4">
        <f>IF(J153&lt;=0,0,MIN($K$8,(J153+T154)))</f>
      </c>
      <c r="AE154" s="4">
        <f>IF(K153&lt;=0,0,MIN($K$9,(K153+U154)))</f>
      </c>
      <c r="AF154" s="4">
        <f>IF(L153&lt;=0,0,MIN($K$10,(L153+V154)))</f>
      </c>
      <c r="AG154" s="4">
        <f>IF(M153&lt;=0,0,MIN($K$11,(M153+W154)))</f>
      </c>
      <c r="AH154" s="4">
        <f>IF(N153&lt;=0,0,MIN($K$12,(N153+X154)))</f>
      </c>
      <c r="AI154" s="4">
        <f>IF(O153&lt;=0,0,MIN($K$13,(O153+Y154)))</f>
      </c>
      <c r="AJ154" s="4">
        <f>IF(P153&lt;=0,0,MIN($K$14,(P153+Z154)))</f>
      </c>
      <c r="AK154" s="4">
        <f>(G153+Q154)-AA154</f>
      </c>
      <c r="AL154" s="4">
        <f>(H153+R154)-AB154</f>
      </c>
      <c r="AM154" s="4">
        <f>(I153+S154)-AC154</f>
      </c>
      <c r="AN154" s="4">
        <f>(J153+T154)-AD154</f>
      </c>
      <c r="AO154" s="4">
        <f>(K153+U154)-AE154</f>
      </c>
      <c r="AP154" s="4">
        <f>(L153+V154)-AF154</f>
      </c>
      <c r="AQ154" s="4">
        <f>(M153+W154)-AG154</f>
      </c>
      <c r="AR154" s="4">
        <f>(N153+X154)-AH154</f>
      </c>
      <c r="AS154" s="4">
        <f>(O153+Y154)-AI154</f>
      </c>
      <c r="AT154" s="4">
        <f>(P153+Z154)-AJ154</f>
      </c>
      <c r="AU154" s="4">
        <f>$B$16+SUM($K$5:$K$14)-SUM(AA154:AJ154)</f>
      </c>
      <c r="AV154" s="4">
        <f>AU154-BE154</f>
      </c>
      <c r="AW154" s="4">
        <f>AV154-BF154</f>
      </c>
      <c r="AX154" s="4">
        <f>AW154-BG154</f>
      </c>
      <c r="AY154" s="4">
        <f>AX154-BH154</f>
      </c>
      <c r="AZ154" s="4">
        <f>AY154-BI154</f>
      </c>
      <c r="BA154" s="4">
        <f>AZ154-BJ154</f>
      </c>
      <c r="BB154" s="4">
        <f>BA154-BK154</f>
      </c>
      <c r="BC154" s="4">
        <f>BB154-BL154</f>
      </c>
      <c r="BD154" s="4">
        <f>BC154-BM154</f>
      </c>
      <c r="BE154" s="4">
        <f>IF(G153&lt;=0,0,MIN(AU154,AK154))</f>
      </c>
      <c r="BF154" s="4">
        <f>IF(H153&lt;=0,0,MIN(AV154,AL154))</f>
      </c>
      <c r="BG154" s="4">
        <f>IF(I153&lt;=0,0,MIN(AW154,AM154))</f>
      </c>
      <c r="BH154" s="4">
        <f>IF(J153&lt;=0,0,MIN(AX154,AN154))</f>
      </c>
      <c r="BI154" s="4">
        <f>IF(K153&lt;=0,0,MIN(AY154,AO154))</f>
      </c>
      <c r="BJ154" s="4">
        <f>IF(L153&lt;=0,0,MIN(AZ154,AP154))</f>
      </c>
      <c r="BK154" s="4">
        <f>IF(M153&lt;=0,0,MIN(BA154,AQ154))</f>
      </c>
      <c r="BL154" s="4">
        <f>IF(N153&lt;=0,0,MIN(BB154,AR154))</f>
      </c>
      <c r="BM154" s="4">
        <f>IF(O153&lt;=0,0,MIN(BC154,AS154))</f>
      </c>
      <c r="BN154" s="4">
        <f>IF(P153&lt;=0,0,MIN(BD154,AT154))</f>
      </c>
    </row>
    <row r="155" spans="1:66" x14ac:dyDescent="0.25">
      <c r="A155">
        <v>128</v>
      </c>
      <c r="B155" s="7">
        <f>EDATE($B$17,128)</f>
      </c>
      <c r="C155" s="4">
        <f>SUM(G155:P155)</f>
      </c>
      <c r="D155" s="4">
        <f>SUM(Q155:Z155)</f>
      </c>
      <c r="E155" s="4">
        <f>SUM(AA155:AJ155)+SUM(BE155:BN155)</f>
      </c>
      <c r="G155" s="4">
        <f>MAX(0,AK155-BE155)</f>
      </c>
      <c r="H155" s="4">
        <f>MAX(0,AL155-BF155)</f>
      </c>
      <c r="I155" s="4">
        <f>MAX(0,AM155-BG155)</f>
      </c>
      <c r="J155" s="4">
        <f>MAX(0,AN155-BH155)</f>
      </c>
      <c r="K155" s="4">
        <f>MAX(0,AO155-BI155)</f>
      </c>
      <c r="L155" s="4">
        <f>MAX(0,AP155-BJ155)</f>
      </c>
      <c r="M155" s="4">
        <f>MAX(0,AQ155-BK155)</f>
      </c>
      <c r="N155" s="4">
        <f>MAX(0,AR155-BL155)</f>
      </c>
      <c r="O155" s="4">
        <f>MAX(0,AS155-BM155)</f>
      </c>
      <c r="P155" s="4">
        <f>MAX(0,AT155-BN155)</f>
      </c>
      <c r="Q155" s="4">
        <f>IF(G154&gt;0,G154*($J$5/100/12),0)</f>
      </c>
      <c r="R155" s="4">
        <f>IF(H154&gt;0,H154*($J$6/100/12),0)</f>
      </c>
      <c r="S155" s="4">
        <f>IF(I154&gt;0,I154*($J$7/100/12),0)</f>
      </c>
      <c r="T155" s="4">
        <f>IF(J154&gt;0,J154*($J$8/100/12),0)</f>
      </c>
      <c r="U155" s="4">
        <f>IF(K154&gt;0,K154*($J$9/100/12),0)</f>
      </c>
      <c r="V155" s="4">
        <f>IF(L154&gt;0,L154*($J$10/100/12),0)</f>
      </c>
      <c r="W155" s="4">
        <f>IF(M154&gt;0,M154*($J$11/100/12),0)</f>
      </c>
      <c r="X155" s="4">
        <f>IF(N154&gt;0,N154*($J$12/100/12),0)</f>
      </c>
      <c r="Y155" s="4">
        <f>IF(O154&gt;0,O154*($J$13/100/12),0)</f>
      </c>
      <c r="Z155" s="4">
        <f>IF(P154&gt;0,P154*($J$14/100/12),0)</f>
      </c>
      <c r="AA155" s="4">
        <f>IF(G154&lt;=0,0,MIN($K$5,(G154+Q155)))</f>
      </c>
      <c r="AB155" s="4">
        <f>IF(H154&lt;=0,0,MIN($K$6,(H154+R155)))</f>
      </c>
      <c r="AC155" s="4">
        <f>IF(I154&lt;=0,0,MIN($K$7,(I154+S155)))</f>
      </c>
      <c r="AD155" s="4">
        <f>IF(J154&lt;=0,0,MIN($K$8,(J154+T155)))</f>
      </c>
      <c r="AE155" s="4">
        <f>IF(K154&lt;=0,0,MIN($K$9,(K154+U155)))</f>
      </c>
      <c r="AF155" s="4">
        <f>IF(L154&lt;=0,0,MIN($K$10,(L154+V155)))</f>
      </c>
      <c r="AG155" s="4">
        <f>IF(M154&lt;=0,0,MIN($K$11,(M154+W155)))</f>
      </c>
      <c r="AH155" s="4">
        <f>IF(N154&lt;=0,0,MIN($K$12,(N154+X155)))</f>
      </c>
      <c r="AI155" s="4">
        <f>IF(O154&lt;=0,0,MIN($K$13,(O154+Y155)))</f>
      </c>
      <c r="AJ155" s="4">
        <f>IF(P154&lt;=0,0,MIN($K$14,(P154+Z155)))</f>
      </c>
      <c r="AK155" s="4">
        <f>(G154+Q155)-AA155</f>
      </c>
      <c r="AL155" s="4">
        <f>(H154+R155)-AB155</f>
      </c>
      <c r="AM155" s="4">
        <f>(I154+S155)-AC155</f>
      </c>
      <c r="AN155" s="4">
        <f>(J154+T155)-AD155</f>
      </c>
      <c r="AO155" s="4">
        <f>(K154+U155)-AE155</f>
      </c>
      <c r="AP155" s="4">
        <f>(L154+V155)-AF155</f>
      </c>
      <c r="AQ155" s="4">
        <f>(M154+W155)-AG155</f>
      </c>
      <c r="AR155" s="4">
        <f>(N154+X155)-AH155</f>
      </c>
      <c r="AS155" s="4">
        <f>(O154+Y155)-AI155</f>
      </c>
      <c r="AT155" s="4">
        <f>(P154+Z155)-AJ155</f>
      </c>
      <c r="AU155" s="4">
        <f>$B$16+SUM($K$5:$K$14)-SUM(AA155:AJ155)</f>
      </c>
      <c r="AV155" s="4">
        <f>AU155-BE155</f>
      </c>
      <c r="AW155" s="4">
        <f>AV155-BF155</f>
      </c>
      <c r="AX155" s="4">
        <f>AW155-BG155</f>
      </c>
      <c r="AY155" s="4">
        <f>AX155-BH155</f>
      </c>
      <c r="AZ155" s="4">
        <f>AY155-BI155</f>
      </c>
      <c r="BA155" s="4">
        <f>AZ155-BJ155</f>
      </c>
      <c r="BB155" s="4">
        <f>BA155-BK155</f>
      </c>
      <c r="BC155" s="4">
        <f>BB155-BL155</f>
      </c>
      <c r="BD155" s="4">
        <f>BC155-BM155</f>
      </c>
      <c r="BE155" s="4">
        <f>IF(G154&lt;=0,0,MIN(AU155,AK155))</f>
      </c>
      <c r="BF155" s="4">
        <f>IF(H154&lt;=0,0,MIN(AV155,AL155))</f>
      </c>
      <c r="BG155" s="4">
        <f>IF(I154&lt;=0,0,MIN(AW155,AM155))</f>
      </c>
      <c r="BH155" s="4">
        <f>IF(J154&lt;=0,0,MIN(AX155,AN155))</f>
      </c>
      <c r="BI155" s="4">
        <f>IF(K154&lt;=0,0,MIN(AY155,AO155))</f>
      </c>
      <c r="BJ155" s="4">
        <f>IF(L154&lt;=0,0,MIN(AZ155,AP155))</f>
      </c>
      <c r="BK155" s="4">
        <f>IF(M154&lt;=0,0,MIN(BA155,AQ155))</f>
      </c>
      <c r="BL155" s="4">
        <f>IF(N154&lt;=0,0,MIN(BB155,AR155))</f>
      </c>
      <c r="BM155" s="4">
        <f>IF(O154&lt;=0,0,MIN(BC155,AS155))</f>
      </c>
      <c r="BN155" s="4">
        <f>IF(P154&lt;=0,0,MIN(BD155,AT155))</f>
      </c>
    </row>
    <row r="156" spans="1:66" x14ac:dyDescent="0.25">
      <c r="A156">
        <v>129</v>
      </c>
      <c r="B156" s="7">
        <f>EDATE($B$17,129)</f>
      </c>
      <c r="C156" s="4">
        <f>SUM(G156:P156)</f>
      </c>
      <c r="D156" s="4">
        <f>SUM(Q156:Z156)</f>
      </c>
      <c r="E156" s="4">
        <f>SUM(AA156:AJ156)+SUM(BE156:BN156)</f>
      </c>
      <c r="G156" s="4">
        <f>MAX(0,AK156-BE156)</f>
      </c>
      <c r="H156" s="4">
        <f>MAX(0,AL156-BF156)</f>
      </c>
      <c r="I156" s="4">
        <f>MAX(0,AM156-BG156)</f>
      </c>
      <c r="J156" s="4">
        <f>MAX(0,AN156-BH156)</f>
      </c>
      <c r="K156" s="4">
        <f>MAX(0,AO156-BI156)</f>
      </c>
      <c r="L156" s="4">
        <f>MAX(0,AP156-BJ156)</f>
      </c>
      <c r="M156" s="4">
        <f>MAX(0,AQ156-BK156)</f>
      </c>
      <c r="N156" s="4">
        <f>MAX(0,AR156-BL156)</f>
      </c>
      <c r="O156" s="4">
        <f>MAX(0,AS156-BM156)</f>
      </c>
      <c r="P156" s="4">
        <f>MAX(0,AT156-BN156)</f>
      </c>
      <c r="Q156" s="4">
        <f>IF(G155&gt;0,G155*($J$5/100/12),0)</f>
      </c>
      <c r="R156" s="4">
        <f>IF(H155&gt;0,H155*($J$6/100/12),0)</f>
      </c>
      <c r="S156" s="4">
        <f>IF(I155&gt;0,I155*($J$7/100/12),0)</f>
      </c>
      <c r="T156" s="4">
        <f>IF(J155&gt;0,J155*($J$8/100/12),0)</f>
      </c>
      <c r="U156" s="4">
        <f>IF(K155&gt;0,K155*($J$9/100/12),0)</f>
      </c>
      <c r="V156" s="4">
        <f>IF(L155&gt;0,L155*($J$10/100/12),0)</f>
      </c>
      <c r="W156" s="4">
        <f>IF(M155&gt;0,M155*($J$11/100/12),0)</f>
      </c>
      <c r="X156" s="4">
        <f>IF(N155&gt;0,N155*($J$12/100/12),0)</f>
      </c>
      <c r="Y156" s="4">
        <f>IF(O155&gt;0,O155*($J$13/100/12),0)</f>
      </c>
      <c r="Z156" s="4">
        <f>IF(P155&gt;0,P155*($J$14/100/12),0)</f>
      </c>
      <c r="AA156" s="4">
        <f>IF(G155&lt;=0,0,MIN($K$5,(G155+Q156)))</f>
      </c>
      <c r="AB156" s="4">
        <f>IF(H155&lt;=0,0,MIN($K$6,(H155+R156)))</f>
      </c>
      <c r="AC156" s="4">
        <f>IF(I155&lt;=0,0,MIN($K$7,(I155+S156)))</f>
      </c>
      <c r="AD156" s="4">
        <f>IF(J155&lt;=0,0,MIN($K$8,(J155+T156)))</f>
      </c>
      <c r="AE156" s="4">
        <f>IF(K155&lt;=0,0,MIN($K$9,(K155+U156)))</f>
      </c>
      <c r="AF156" s="4">
        <f>IF(L155&lt;=0,0,MIN($K$10,(L155+V156)))</f>
      </c>
      <c r="AG156" s="4">
        <f>IF(M155&lt;=0,0,MIN($K$11,(M155+W156)))</f>
      </c>
      <c r="AH156" s="4">
        <f>IF(N155&lt;=0,0,MIN($K$12,(N155+X156)))</f>
      </c>
      <c r="AI156" s="4">
        <f>IF(O155&lt;=0,0,MIN($K$13,(O155+Y156)))</f>
      </c>
      <c r="AJ156" s="4">
        <f>IF(P155&lt;=0,0,MIN($K$14,(P155+Z156)))</f>
      </c>
      <c r="AK156" s="4">
        <f>(G155+Q156)-AA156</f>
      </c>
      <c r="AL156" s="4">
        <f>(H155+R156)-AB156</f>
      </c>
      <c r="AM156" s="4">
        <f>(I155+S156)-AC156</f>
      </c>
      <c r="AN156" s="4">
        <f>(J155+T156)-AD156</f>
      </c>
      <c r="AO156" s="4">
        <f>(K155+U156)-AE156</f>
      </c>
      <c r="AP156" s="4">
        <f>(L155+V156)-AF156</f>
      </c>
      <c r="AQ156" s="4">
        <f>(M155+W156)-AG156</f>
      </c>
      <c r="AR156" s="4">
        <f>(N155+X156)-AH156</f>
      </c>
      <c r="AS156" s="4">
        <f>(O155+Y156)-AI156</f>
      </c>
      <c r="AT156" s="4">
        <f>(P155+Z156)-AJ156</f>
      </c>
      <c r="AU156" s="4">
        <f>$B$16+SUM($K$5:$K$14)-SUM(AA156:AJ156)</f>
      </c>
      <c r="AV156" s="4">
        <f>AU156-BE156</f>
      </c>
      <c r="AW156" s="4">
        <f>AV156-BF156</f>
      </c>
      <c r="AX156" s="4">
        <f>AW156-BG156</f>
      </c>
      <c r="AY156" s="4">
        <f>AX156-BH156</f>
      </c>
      <c r="AZ156" s="4">
        <f>AY156-BI156</f>
      </c>
      <c r="BA156" s="4">
        <f>AZ156-BJ156</f>
      </c>
      <c r="BB156" s="4">
        <f>BA156-BK156</f>
      </c>
      <c r="BC156" s="4">
        <f>BB156-BL156</f>
      </c>
      <c r="BD156" s="4">
        <f>BC156-BM156</f>
      </c>
      <c r="BE156" s="4">
        <f>IF(G155&lt;=0,0,MIN(AU156,AK156))</f>
      </c>
      <c r="BF156" s="4">
        <f>IF(H155&lt;=0,0,MIN(AV156,AL156))</f>
      </c>
      <c r="BG156" s="4">
        <f>IF(I155&lt;=0,0,MIN(AW156,AM156))</f>
      </c>
      <c r="BH156" s="4">
        <f>IF(J155&lt;=0,0,MIN(AX156,AN156))</f>
      </c>
      <c r="BI156" s="4">
        <f>IF(K155&lt;=0,0,MIN(AY156,AO156))</f>
      </c>
      <c r="BJ156" s="4">
        <f>IF(L155&lt;=0,0,MIN(AZ156,AP156))</f>
      </c>
      <c r="BK156" s="4">
        <f>IF(M155&lt;=0,0,MIN(BA156,AQ156))</f>
      </c>
      <c r="BL156" s="4">
        <f>IF(N155&lt;=0,0,MIN(BB156,AR156))</f>
      </c>
      <c r="BM156" s="4">
        <f>IF(O155&lt;=0,0,MIN(BC156,AS156))</f>
      </c>
      <c r="BN156" s="4">
        <f>IF(P155&lt;=0,0,MIN(BD156,AT156))</f>
      </c>
    </row>
    <row r="157" spans="1:66" x14ac:dyDescent="0.25">
      <c r="A157">
        <v>130</v>
      </c>
      <c r="B157" s="7">
        <f>EDATE($B$17,130)</f>
      </c>
      <c r="C157" s="4">
        <f>SUM(G157:P157)</f>
      </c>
      <c r="D157" s="4">
        <f>SUM(Q157:Z157)</f>
      </c>
      <c r="E157" s="4">
        <f>SUM(AA157:AJ157)+SUM(BE157:BN157)</f>
      </c>
      <c r="G157" s="4">
        <f>MAX(0,AK157-BE157)</f>
      </c>
      <c r="H157" s="4">
        <f>MAX(0,AL157-BF157)</f>
      </c>
      <c r="I157" s="4">
        <f>MAX(0,AM157-BG157)</f>
      </c>
      <c r="J157" s="4">
        <f>MAX(0,AN157-BH157)</f>
      </c>
      <c r="K157" s="4">
        <f>MAX(0,AO157-BI157)</f>
      </c>
      <c r="L157" s="4">
        <f>MAX(0,AP157-BJ157)</f>
      </c>
      <c r="M157" s="4">
        <f>MAX(0,AQ157-BK157)</f>
      </c>
      <c r="N157" s="4">
        <f>MAX(0,AR157-BL157)</f>
      </c>
      <c r="O157" s="4">
        <f>MAX(0,AS157-BM157)</f>
      </c>
      <c r="P157" s="4">
        <f>MAX(0,AT157-BN157)</f>
      </c>
      <c r="Q157" s="4">
        <f>IF(G156&gt;0,G156*($J$5/100/12),0)</f>
      </c>
      <c r="R157" s="4">
        <f>IF(H156&gt;0,H156*($J$6/100/12),0)</f>
      </c>
      <c r="S157" s="4">
        <f>IF(I156&gt;0,I156*($J$7/100/12),0)</f>
      </c>
      <c r="T157" s="4">
        <f>IF(J156&gt;0,J156*($J$8/100/12),0)</f>
      </c>
      <c r="U157" s="4">
        <f>IF(K156&gt;0,K156*($J$9/100/12),0)</f>
      </c>
      <c r="V157" s="4">
        <f>IF(L156&gt;0,L156*($J$10/100/12),0)</f>
      </c>
      <c r="W157" s="4">
        <f>IF(M156&gt;0,M156*($J$11/100/12),0)</f>
      </c>
      <c r="X157" s="4">
        <f>IF(N156&gt;0,N156*($J$12/100/12),0)</f>
      </c>
      <c r="Y157" s="4">
        <f>IF(O156&gt;0,O156*($J$13/100/12),0)</f>
      </c>
      <c r="Z157" s="4">
        <f>IF(P156&gt;0,P156*($J$14/100/12),0)</f>
      </c>
      <c r="AA157" s="4">
        <f>IF(G156&lt;=0,0,MIN($K$5,(G156+Q157)))</f>
      </c>
      <c r="AB157" s="4">
        <f>IF(H156&lt;=0,0,MIN($K$6,(H156+R157)))</f>
      </c>
      <c r="AC157" s="4">
        <f>IF(I156&lt;=0,0,MIN($K$7,(I156+S157)))</f>
      </c>
      <c r="AD157" s="4">
        <f>IF(J156&lt;=0,0,MIN($K$8,(J156+T157)))</f>
      </c>
      <c r="AE157" s="4">
        <f>IF(K156&lt;=0,0,MIN($K$9,(K156+U157)))</f>
      </c>
      <c r="AF157" s="4">
        <f>IF(L156&lt;=0,0,MIN($K$10,(L156+V157)))</f>
      </c>
      <c r="AG157" s="4">
        <f>IF(M156&lt;=0,0,MIN($K$11,(M156+W157)))</f>
      </c>
      <c r="AH157" s="4">
        <f>IF(N156&lt;=0,0,MIN($K$12,(N156+X157)))</f>
      </c>
      <c r="AI157" s="4">
        <f>IF(O156&lt;=0,0,MIN($K$13,(O156+Y157)))</f>
      </c>
      <c r="AJ157" s="4">
        <f>IF(P156&lt;=0,0,MIN($K$14,(P156+Z157)))</f>
      </c>
      <c r="AK157" s="4">
        <f>(G156+Q157)-AA157</f>
      </c>
      <c r="AL157" s="4">
        <f>(H156+R157)-AB157</f>
      </c>
      <c r="AM157" s="4">
        <f>(I156+S157)-AC157</f>
      </c>
      <c r="AN157" s="4">
        <f>(J156+T157)-AD157</f>
      </c>
      <c r="AO157" s="4">
        <f>(K156+U157)-AE157</f>
      </c>
      <c r="AP157" s="4">
        <f>(L156+V157)-AF157</f>
      </c>
      <c r="AQ157" s="4">
        <f>(M156+W157)-AG157</f>
      </c>
      <c r="AR157" s="4">
        <f>(N156+X157)-AH157</f>
      </c>
      <c r="AS157" s="4">
        <f>(O156+Y157)-AI157</f>
      </c>
      <c r="AT157" s="4">
        <f>(P156+Z157)-AJ157</f>
      </c>
      <c r="AU157" s="4">
        <f>$B$16+SUM($K$5:$K$14)-SUM(AA157:AJ157)</f>
      </c>
      <c r="AV157" s="4">
        <f>AU157-BE157</f>
      </c>
      <c r="AW157" s="4">
        <f>AV157-BF157</f>
      </c>
      <c r="AX157" s="4">
        <f>AW157-BG157</f>
      </c>
      <c r="AY157" s="4">
        <f>AX157-BH157</f>
      </c>
      <c r="AZ157" s="4">
        <f>AY157-BI157</f>
      </c>
      <c r="BA157" s="4">
        <f>AZ157-BJ157</f>
      </c>
      <c r="BB157" s="4">
        <f>BA157-BK157</f>
      </c>
      <c r="BC157" s="4">
        <f>BB157-BL157</f>
      </c>
      <c r="BD157" s="4">
        <f>BC157-BM157</f>
      </c>
      <c r="BE157" s="4">
        <f>IF(G156&lt;=0,0,MIN(AU157,AK157))</f>
      </c>
      <c r="BF157" s="4">
        <f>IF(H156&lt;=0,0,MIN(AV157,AL157))</f>
      </c>
      <c r="BG157" s="4">
        <f>IF(I156&lt;=0,0,MIN(AW157,AM157))</f>
      </c>
      <c r="BH157" s="4">
        <f>IF(J156&lt;=0,0,MIN(AX157,AN157))</f>
      </c>
      <c r="BI157" s="4">
        <f>IF(K156&lt;=0,0,MIN(AY157,AO157))</f>
      </c>
      <c r="BJ157" s="4">
        <f>IF(L156&lt;=0,0,MIN(AZ157,AP157))</f>
      </c>
      <c r="BK157" s="4">
        <f>IF(M156&lt;=0,0,MIN(BA157,AQ157))</f>
      </c>
      <c r="BL157" s="4">
        <f>IF(N156&lt;=0,0,MIN(BB157,AR157))</f>
      </c>
      <c r="BM157" s="4">
        <f>IF(O156&lt;=0,0,MIN(BC157,AS157))</f>
      </c>
      <c r="BN157" s="4">
        <f>IF(P156&lt;=0,0,MIN(BD157,AT157))</f>
      </c>
    </row>
    <row r="158" spans="1:66" x14ac:dyDescent="0.25">
      <c r="A158">
        <v>131</v>
      </c>
      <c r="B158" s="7">
        <f>EDATE($B$17,131)</f>
      </c>
      <c r="C158" s="4">
        <f>SUM(G158:P158)</f>
      </c>
      <c r="D158" s="4">
        <f>SUM(Q158:Z158)</f>
      </c>
      <c r="E158" s="4">
        <f>SUM(AA158:AJ158)+SUM(BE158:BN158)</f>
      </c>
      <c r="G158" s="4">
        <f>MAX(0,AK158-BE158)</f>
      </c>
      <c r="H158" s="4">
        <f>MAX(0,AL158-BF158)</f>
      </c>
      <c r="I158" s="4">
        <f>MAX(0,AM158-BG158)</f>
      </c>
      <c r="J158" s="4">
        <f>MAX(0,AN158-BH158)</f>
      </c>
      <c r="K158" s="4">
        <f>MAX(0,AO158-BI158)</f>
      </c>
      <c r="L158" s="4">
        <f>MAX(0,AP158-BJ158)</f>
      </c>
      <c r="M158" s="4">
        <f>MAX(0,AQ158-BK158)</f>
      </c>
      <c r="N158" s="4">
        <f>MAX(0,AR158-BL158)</f>
      </c>
      <c r="O158" s="4">
        <f>MAX(0,AS158-BM158)</f>
      </c>
      <c r="P158" s="4">
        <f>MAX(0,AT158-BN158)</f>
      </c>
      <c r="Q158" s="4">
        <f>IF(G157&gt;0,G157*($J$5/100/12),0)</f>
      </c>
      <c r="R158" s="4">
        <f>IF(H157&gt;0,H157*($J$6/100/12),0)</f>
      </c>
      <c r="S158" s="4">
        <f>IF(I157&gt;0,I157*($J$7/100/12),0)</f>
      </c>
      <c r="T158" s="4">
        <f>IF(J157&gt;0,J157*($J$8/100/12),0)</f>
      </c>
      <c r="U158" s="4">
        <f>IF(K157&gt;0,K157*($J$9/100/12),0)</f>
      </c>
      <c r="V158" s="4">
        <f>IF(L157&gt;0,L157*($J$10/100/12),0)</f>
      </c>
      <c r="W158" s="4">
        <f>IF(M157&gt;0,M157*($J$11/100/12),0)</f>
      </c>
      <c r="X158" s="4">
        <f>IF(N157&gt;0,N157*($J$12/100/12),0)</f>
      </c>
      <c r="Y158" s="4">
        <f>IF(O157&gt;0,O157*($J$13/100/12),0)</f>
      </c>
      <c r="Z158" s="4">
        <f>IF(P157&gt;0,P157*($J$14/100/12),0)</f>
      </c>
      <c r="AA158" s="4">
        <f>IF(G157&lt;=0,0,MIN($K$5,(G157+Q158)))</f>
      </c>
      <c r="AB158" s="4">
        <f>IF(H157&lt;=0,0,MIN($K$6,(H157+R158)))</f>
      </c>
      <c r="AC158" s="4">
        <f>IF(I157&lt;=0,0,MIN($K$7,(I157+S158)))</f>
      </c>
      <c r="AD158" s="4">
        <f>IF(J157&lt;=0,0,MIN($K$8,(J157+T158)))</f>
      </c>
      <c r="AE158" s="4">
        <f>IF(K157&lt;=0,0,MIN($K$9,(K157+U158)))</f>
      </c>
      <c r="AF158" s="4">
        <f>IF(L157&lt;=0,0,MIN($K$10,(L157+V158)))</f>
      </c>
      <c r="AG158" s="4">
        <f>IF(M157&lt;=0,0,MIN($K$11,(M157+W158)))</f>
      </c>
      <c r="AH158" s="4">
        <f>IF(N157&lt;=0,0,MIN($K$12,(N157+X158)))</f>
      </c>
      <c r="AI158" s="4">
        <f>IF(O157&lt;=0,0,MIN($K$13,(O157+Y158)))</f>
      </c>
      <c r="AJ158" s="4">
        <f>IF(P157&lt;=0,0,MIN($K$14,(P157+Z158)))</f>
      </c>
      <c r="AK158" s="4">
        <f>(G157+Q158)-AA158</f>
      </c>
      <c r="AL158" s="4">
        <f>(H157+R158)-AB158</f>
      </c>
      <c r="AM158" s="4">
        <f>(I157+S158)-AC158</f>
      </c>
      <c r="AN158" s="4">
        <f>(J157+T158)-AD158</f>
      </c>
      <c r="AO158" s="4">
        <f>(K157+U158)-AE158</f>
      </c>
      <c r="AP158" s="4">
        <f>(L157+V158)-AF158</f>
      </c>
      <c r="AQ158" s="4">
        <f>(M157+W158)-AG158</f>
      </c>
      <c r="AR158" s="4">
        <f>(N157+X158)-AH158</f>
      </c>
      <c r="AS158" s="4">
        <f>(O157+Y158)-AI158</f>
      </c>
      <c r="AT158" s="4">
        <f>(P157+Z158)-AJ158</f>
      </c>
      <c r="AU158" s="4">
        <f>$B$16+SUM($K$5:$K$14)-SUM(AA158:AJ158)</f>
      </c>
      <c r="AV158" s="4">
        <f>AU158-BE158</f>
      </c>
      <c r="AW158" s="4">
        <f>AV158-BF158</f>
      </c>
      <c r="AX158" s="4">
        <f>AW158-BG158</f>
      </c>
      <c r="AY158" s="4">
        <f>AX158-BH158</f>
      </c>
      <c r="AZ158" s="4">
        <f>AY158-BI158</f>
      </c>
      <c r="BA158" s="4">
        <f>AZ158-BJ158</f>
      </c>
      <c r="BB158" s="4">
        <f>BA158-BK158</f>
      </c>
      <c r="BC158" s="4">
        <f>BB158-BL158</f>
      </c>
      <c r="BD158" s="4">
        <f>BC158-BM158</f>
      </c>
      <c r="BE158" s="4">
        <f>IF(G157&lt;=0,0,MIN(AU158,AK158))</f>
      </c>
      <c r="BF158" s="4">
        <f>IF(H157&lt;=0,0,MIN(AV158,AL158))</f>
      </c>
      <c r="BG158" s="4">
        <f>IF(I157&lt;=0,0,MIN(AW158,AM158))</f>
      </c>
      <c r="BH158" s="4">
        <f>IF(J157&lt;=0,0,MIN(AX158,AN158))</f>
      </c>
      <c r="BI158" s="4">
        <f>IF(K157&lt;=0,0,MIN(AY158,AO158))</f>
      </c>
      <c r="BJ158" s="4">
        <f>IF(L157&lt;=0,0,MIN(AZ158,AP158))</f>
      </c>
      <c r="BK158" s="4">
        <f>IF(M157&lt;=0,0,MIN(BA158,AQ158))</f>
      </c>
      <c r="BL158" s="4">
        <f>IF(N157&lt;=0,0,MIN(BB158,AR158))</f>
      </c>
      <c r="BM158" s="4">
        <f>IF(O157&lt;=0,0,MIN(BC158,AS158))</f>
      </c>
      <c r="BN158" s="4">
        <f>IF(P157&lt;=0,0,MIN(BD158,AT158))</f>
      </c>
    </row>
    <row r="159" spans="1:66" x14ac:dyDescent="0.25">
      <c r="A159">
        <v>132</v>
      </c>
      <c r="B159" s="7">
        <f>EDATE($B$17,132)</f>
      </c>
      <c r="C159" s="4">
        <f>SUM(G159:P159)</f>
      </c>
      <c r="D159" s="4">
        <f>SUM(Q159:Z159)</f>
      </c>
      <c r="E159" s="4">
        <f>SUM(AA159:AJ159)+SUM(BE159:BN159)</f>
      </c>
      <c r="G159" s="4">
        <f>MAX(0,AK159-BE159)</f>
      </c>
      <c r="H159" s="4">
        <f>MAX(0,AL159-BF159)</f>
      </c>
      <c r="I159" s="4">
        <f>MAX(0,AM159-BG159)</f>
      </c>
      <c r="J159" s="4">
        <f>MAX(0,AN159-BH159)</f>
      </c>
      <c r="K159" s="4">
        <f>MAX(0,AO159-BI159)</f>
      </c>
      <c r="L159" s="4">
        <f>MAX(0,AP159-BJ159)</f>
      </c>
      <c r="M159" s="4">
        <f>MAX(0,AQ159-BK159)</f>
      </c>
      <c r="N159" s="4">
        <f>MAX(0,AR159-BL159)</f>
      </c>
      <c r="O159" s="4">
        <f>MAX(0,AS159-BM159)</f>
      </c>
      <c r="P159" s="4">
        <f>MAX(0,AT159-BN159)</f>
      </c>
      <c r="Q159" s="4">
        <f>IF(G158&gt;0,G158*($J$5/100/12),0)</f>
      </c>
      <c r="R159" s="4">
        <f>IF(H158&gt;0,H158*($J$6/100/12),0)</f>
      </c>
      <c r="S159" s="4">
        <f>IF(I158&gt;0,I158*($J$7/100/12),0)</f>
      </c>
      <c r="T159" s="4">
        <f>IF(J158&gt;0,J158*($J$8/100/12),0)</f>
      </c>
      <c r="U159" s="4">
        <f>IF(K158&gt;0,K158*($J$9/100/12),0)</f>
      </c>
      <c r="V159" s="4">
        <f>IF(L158&gt;0,L158*($J$10/100/12),0)</f>
      </c>
      <c r="W159" s="4">
        <f>IF(M158&gt;0,M158*($J$11/100/12),0)</f>
      </c>
      <c r="X159" s="4">
        <f>IF(N158&gt;0,N158*($J$12/100/12),0)</f>
      </c>
      <c r="Y159" s="4">
        <f>IF(O158&gt;0,O158*($J$13/100/12),0)</f>
      </c>
      <c r="Z159" s="4">
        <f>IF(P158&gt;0,P158*($J$14/100/12),0)</f>
      </c>
      <c r="AA159" s="4">
        <f>IF(G158&lt;=0,0,MIN($K$5,(G158+Q159)))</f>
      </c>
      <c r="AB159" s="4">
        <f>IF(H158&lt;=0,0,MIN($K$6,(H158+R159)))</f>
      </c>
      <c r="AC159" s="4">
        <f>IF(I158&lt;=0,0,MIN($K$7,(I158+S159)))</f>
      </c>
      <c r="AD159" s="4">
        <f>IF(J158&lt;=0,0,MIN($K$8,(J158+T159)))</f>
      </c>
      <c r="AE159" s="4">
        <f>IF(K158&lt;=0,0,MIN($K$9,(K158+U159)))</f>
      </c>
      <c r="AF159" s="4">
        <f>IF(L158&lt;=0,0,MIN($K$10,(L158+V159)))</f>
      </c>
      <c r="AG159" s="4">
        <f>IF(M158&lt;=0,0,MIN($K$11,(M158+W159)))</f>
      </c>
      <c r="AH159" s="4">
        <f>IF(N158&lt;=0,0,MIN($K$12,(N158+X159)))</f>
      </c>
      <c r="AI159" s="4">
        <f>IF(O158&lt;=0,0,MIN($K$13,(O158+Y159)))</f>
      </c>
      <c r="AJ159" s="4">
        <f>IF(P158&lt;=0,0,MIN($K$14,(P158+Z159)))</f>
      </c>
      <c r="AK159" s="4">
        <f>(G158+Q159)-AA159</f>
      </c>
      <c r="AL159" s="4">
        <f>(H158+R159)-AB159</f>
      </c>
      <c r="AM159" s="4">
        <f>(I158+S159)-AC159</f>
      </c>
      <c r="AN159" s="4">
        <f>(J158+T159)-AD159</f>
      </c>
      <c r="AO159" s="4">
        <f>(K158+U159)-AE159</f>
      </c>
      <c r="AP159" s="4">
        <f>(L158+V159)-AF159</f>
      </c>
      <c r="AQ159" s="4">
        <f>(M158+W159)-AG159</f>
      </c>
      <c r="AR159" s="4">
        <f>(N158+X159)-AH159</f>
      </c>
      <c r="AS159" s="4">
        <f>(O158+Y159)-AI159</f>
      </c>
      <c r="AT159" s="4">
        <f>(P158+Z159)-AJ159</f>
      </c>
      <c r="AU159" s="4">
        <f>$B$16+SUM($K$5:$K$14)-SUM(AA159:AJ159)</f>
      </c>
      <c r="AV159" s="4">
        <f>AU159-BE159</f>
      </c>
      <c r="AW159" s="4">
        <f>AV159-BF159</f>
      </c>
      <c r="AX159" s="4">
        <f>AW159-BG159</f>
      </c>
      <c r="AY159" s="4">
        <f>AX159-BH159</f>
      </c>
      <c r="AZ159" s="4">
        <f>AY159-BI159</f>
      </c>
      <c r="BA159" s="4">
        <f>AZ159-BJ159</f>
      </c>
      <c r="BB159" s="4">
        <f>BA159-BK159</f>
      </c>
      <c r="BC159" s="4">
        <f>BB159-BL159</f>
      </c>
      <c r="BD159" s="4">
        <f>BC159-BM159</f>
      </c>
      <c r="BE159" s="4">
        <f>IF(G158&lt;=0,0,MIN(AU159,AK159))</f>
      </c>
      <c r="BF159" s="4">
        <f>IF(H158&lt;=0,0,MIN(AV159,AL159))</f>
      </c>
      <c r="BG159" s="4">
        <f>IF(I158&lt;=0,0,MIN(AW159,AM159))</f>
      </c>
      <c r="BH159" s="4">
        <f>IF(J158&lt;=0,0,MIN(AX159,AN159))</f>
      </c>
      <c r="BI159" s="4">
        <f>IF(K158&lt;=0,0,MIN(AY159,AO159))</f>
      </c>
      <c r="BJ159" s="4">
        <f>IF(L158&lt;=0,0,MIN(AZ159,AP159))</f>
      </c>
      <c r="BK159" s="4">
        <f>IF(M158&lt;=0,0,MIN(BA159,AQ159))</f>
      </c>
      <c r="BL159" s="4">
        <f>IF(N158&lt;=0,0,MIN(BB159,AR159))</f>
      </c>
      <c r="BM159" s="4">
        <f>IF(O158&lt;=0,0,MIN(BC159,AS159))</f>
      </c>
      <c r="BN159" s="4">
        <f>IF(P158&lt;=0,0,MIN(BD159,AT159))</f>
      </c>
    </row>
    <row r="160" spans="1:66" x14ac:dyDescent="0.25">
      <c r="A160">
        <v>133</v>
      </c>
      <c r="B160" s="7">
        <f>EDATE($B$17,133)</f>
      </c>
      <c r="C160" s="4">
        <f>SUM(G160:P160)</f>
      </c>
      <c r="D160" s="4">
        <f>SUM(Q160:Z160)</f>
      </c>
      <c r="E160" s="4">
        <f>SUM(AA160:AJ160)+SUM(BE160:BN160)</f>
      </c>
      <c r="G160" s="4">
        <f>MAX(0,AK160-BE160)</f>
      </c>
      <c r="H160" s="4">
        <f>MAX(0,AL160-BF160)</f>
      </c>
      <c r="I160" s="4">
        <f>MAX(0,AM160-BG160)</f>
      </c>
      <c r="J160" s="4">
        <f>MAX(0,AN160-BH160)</f>
      </c>
      <c r="K160" s="4">
        <f>MAX(0,AO160-BI160)</f>
      </c>
      <c r="L160" s="4">
        <f>MAX(0,AP160-BJ160)</f>
      </c>
      <c r="M160" s="4">
        <f>MAX(0,AQ160-BK160)</f>
      </c>
      <c r="N160" s="4">
        <f>MAX(0,AR160-BL160)</f>
      </c>
      <c r="O160" s="4">
        <f>MAX(0,AS160-BM160)</f>
      </c>
      <c r="P160" s="4">
        <f>MAX(0,AT160-BN160)</f>
      </c>
      <c r="Q160" s="4">
        <f>IF(G159&gt;0,G159*($J$5/100/12),0)</f>
      </c>
      <c r="R160" s="4">
        <f>IF(H159&gt;0,H159*($J$6/100/12),0)</f>
      </c>
      <c r="S160" s="4">
        <f>IF(I159&gt;0,I159*($J$7/100/12),0)</f>
      </c>
      <c r="T160" s="4">
        <f>IF(J159&gt;0,J159*($J$8/100/12),0)</f>
      </c>
      <c r="U160" s="4">
        <f>IF(K159&gt;0,K159*($J$9/100/12),0)</f>
      </c>
      <c r="V160" s="4">
        <f>IF(L159&gt;0,L159*($J$10/100/12),0)</f>
      </c>
      <c r="W160" s="4">
        <f>IF(M159&gt;0,M159*($J$11/100/12),0)</f>
      </c>
      <c r="X160" s="4">
        <f>IF(N159&gt;0,N159*($J$12/100/12),0)</f>
      </c>
      <c r="Y160" s="4">
        <f>IF(O159&gt;0,O159*($J$13/100/12),0)</f>
      </c>
      <c r="Z160" s="4">
        <f>IF(P159&gt;0,P159*($J$14/100/12),0)</f>
      </c>
      <c r="AA160" s="4">
        <f>IF(G159&lt;=0,0,MIN($K$5,(G159+Q160)))</f>
      </c>
      <c r="AB160" s="4">
        <f>IF(H159&lt;=0,0,MIN($K$6,(H159+R160)))</f>
      </c>
      <c r="AC160" s="4">
        <f>IF(I159&lt;=0,0,MIN($K$7,(I159+S160)))</f>
      </c>
      <c r="AD160" s="4">
        <f>IF(J159&lt;=0,0,MIN($K$8,(J159+T160)))</f>
      </c>
      <c r="AE160" s="4">
        <f>IF(K159&lt;=0,0,MIN($K$9,(K159+U160)))</f>
      </c>
      <c r="AF160" s="4">
        <f>IF(L159&lt;=0,0,MIN($K$10,(L159+V160)))</f>
      </c>
      <c r="AG160" s="4">
        <f>IF(M159&lt;=0,0,MIN($K$11,(M159+W160)))</f>
      </c>
      <c r="AH160" s="4">
        <f>IF(N159&lt;=0,0,MIN($K$12,(N159+X160)))</f>
      </c>
      <c r="AI160" s="4">
        <f>IF(O159&lt;=0,0,MIN($K$13,(O159+Y160)))</f>
      </c>
      <c r="AJ160" s="4">
        <f>IF(P159&lt;=0,0,MIN($K$14,(P159+Z160)))</f>
      </c>
      <c r="AK160" s="4">
        <f>(G159+Q160)-AA160</f>
      </c>
      <c r="AL160" s="4">
        <f>(H159+R160)-AB160</f>
      </c>
      <c r="AM160" s="4">
        <f>(I159+S160)-AC160</f>
      </c>
      <c r="AN160" s="4">
        <f>(J159+T160)-AD160</f>
      </c>
      <c r="AO160" s="4">
        <f>(K159+U160)-AE160</f>
      </c>
      <c r="AP160" s="4">
        <f>(L159+V160)-AF160</f>
      </c>
      <c r="AQ160" s="4">
        <f>(M159+W160)-AG160</f>
      </c>
      <c r="AR160" s="4">
        <f>(N159+X160)-AH160</f>
      </c>
      <c r="AS160" s="4">
        <f>(O159+Y160)-AI160</f>
      </c>
      <c r="AT160" s="4">
        <f>(P159+Z160)-AJ160</f>
      </c>
      <c r="AU160" s="4">
        <f>$B$16+SUM($K$5:$K$14)-SUM(AA160:AJ160)</f>
      </c>
      <c r="AV160" s="4">
        <f>AU160-BE160</f>
      </c>
      <c r="AW160" s="4">
        <f>AV160-BF160</f>
      </c>
      <c r="AX160" s="4">
        <f>AW160-BG160</f>
      </c>
      <c r="AY160" s="4">
        <f>AX160-BH160</f>
      </c>
      <c r="AZ160" s="4">
        <f>AY160-BI160</f>
      </c>
      <c r="BA160" s="4">
        <f>AZ160-BJ160</f>
      </c>
      <c r="BB160" s="4">
        <f>BA160-BK160</f>
      </c>
      <c r="BC160" s="4">
        <f>BB160-BL160</f>
      </c>
      <c r="BD160" s="4">
        <f>BC160-BM160</f>
      </c>
      <c r="BE160" s="4">
        <f>IF(G159&lt;=0,0,MIN(AU160,AK160))</f>
      </c>
      <c r="BF160" s="4">
        <f>IF(H159&lt;=0,0,MIN(AV160,AL160))</f>
      </c>
      <c r="BG160" s="4">
        <f>IF(I159&lt;=0,0,MIN(AW160,AM160))</f>
      </c>
      <c r="BH160" s="4">
        <f>IF(J159&lt;=0,0,MIN(AX160,AN160))</f>
      </c>
      <c r="BI160" s="4">
        <f>IF(K159&lt;=0,0,MIN(AY160,AO160))</f>
      </c>
      <c r="BJ160" s="4">
        <f>IF(L159&lt;=0,0,MIN(AZ160,AP160))</f>
      </c>
      <c r="BK160" s="4">
        <f>IF(M159&lt;=0,0,MIN(BA160,AQ160))</f>
      </c>
      <c r="BL160" s="4">
        <f>IF(N159&lt;=0,0,MIN(BB160,AR160))</f>
      </c>
      <c r="BM160" s="4">
        <f>IF(O159&lt;=0,0,MIN(BC160,AS160))</f>
      </c>
      <c r="BN160" s="4">
        <f>IF(P159&lt;=0,0,MIN(BD160,AT160))</f>
      </c>
    </row>
    <row r="161" spans="1:66" x14ac:dyDescent="0.25">
      <c r="A161">
        <v>134</v>
      </c>
      <c r="B161" s="7">
        <f>EDATE($B$17,134)</f>
      </c>
      <c r="C161" s="4">
        <f>SUM(G161:P161)</f>
      </c>
      <c r="D161" s="4">
        <f>SUM(Q161:Z161)</f>
      </c>
      <c r="E161" s="4">
        <f>SUM(AA161:AJ161)+SUM(BE161:BN161)</f>
      </c>
      <c r="G161" s="4">
        <f>MAX(0,AK161-BE161)</f>
      </c>
      <c r="H161" s="4">
        <f>MAX(0,AL161-BF161)</f>
      </c>
      <c r="I161" s="4">
        <f>MAX(0,AM161-BG161)</f>
      </c>
      <c r="J161" s="4">
        <f>MAX(0,AN161-BH161)</f>
      </c>
      <c r="K161" s="4">
        <f>MAX(0,AO161-BI161)</f>
      </c>
      <c r="L161" s="4">
        <f>MAX(0,AP161-BJ161)</f>
      </c>
      <c r="M161" s="4">
        <f>MAX(0,AQ161-BK161)</f>
      </c>
      <c r="N161" s="4">
        <f>MAX(0,AR161-BL161)</f>
      </c>
      <c r="O161" s="4">
        <f>MAX(0,AS161-BM161)</f>
      </c>
      <c r="P161" s="4">
        <f>MAX(0,AT161-BN161)</f>
      </c>
      <c r="Q161" s="4">
        <f>IF(G160&gt;0,G160*($J$5/100/12),0)</f>
      </c>
      <c r="R161" s="4">
        <f>IF(H160&gt;0,H160*($J$6/100/12),0)</f>
      </c>
      <c r="S161" s="4">
        <f>IF(I160&gt;0,I160*($J$7/100/12),0)</f>
      </c>
      <c r="T161" s="4">
        <f>IF(J160&gt;0,J160*($J$8/100/12),0)</f>
      </c>
      <c r="U161" s="4">
        <f>IF(K160&gt;0,K160*($J$9/100/12),0)</f>
      </c>
      <c r="V161" s="4">
        <f>IF(L160&gt;0,L160*($J$10/100/12),0)</f>
      </c>
      <c r="W161" s="4">
        <f>IF(M160&gt;0,M160*($J$11/100/12),0)</f>
      </c>
      <c r="X161" s="4">
        <f>IF(N160&gt;0,N160*($J$12/100/12),0)</f>
      </c>
      <c r="Y161" s="4">
        <f>IF(O160&gt;0,O160*($J$13/100/12),0)</f>
      </c>
      <c r="Z161" s="4">
        <f>IF(P160&gt;0,P160*($J$14/100/12),0)</f>
      </c>
      <c r="AA161" s="4">
        <f>IF(G160&lt;=0,0,MIN($K$5,(G160+Q161)))</f>
      </c>
      <c r="AB161" s="4">
        <f>IF(H160&lt;=0,0,MIN($K$6,(H160+R161)))</f>
      </c>
      <c r="AC161" s="4">
        <f>IF(I160&lt;=0,0,MIN($K$7,(I160+S161)))</f>
      </c>
      <c r="AD161" s="4">
        <f>IF(J160&lt;=0,0,MIN($K$8,(J160+T161)))</f>
      </c>
      <c r="AE161" s="4">
        <f>IF(K160&lt;=0,0,MIN($K$9,(K160+U161)))</f>
      </c>
      <c r="AF161" s="4">
        <f>IF(L160&lt;=0,0,MIN($K$10,(L160+V161)))</f>
      </c>
      <c r="AG161" s="4">
        <f>IF(M160&lt;=0,0,MIN($K$11,(M160+W161)))</f>
      </c>
      <c r="AH161" s="4">
        <f>IF(N160&lt;=0,0,MIN($K$12,(N160+X161)))</f>
      </c>
      <c r="AI161" s="4">
        <f>IF(O160&lt;=0,0,MIN($K$13,(O160+Y161)))</f>
      </c>
      <c r="AJ161" s="4">
        <f>IF(P160&lt;=0,0,MIN($K$14,(P160+Z161)))</f>
      </c>
      <c r="AK161" s="4">
        <f>(G160+Q161)-AA161</f>
      </c>
      <c r="AL161" s="4">
        <f>(H160+R161)-AB161</f>
      </c>
      <c r="AM161" s="4">
        <f>(I160+S161)-AC161</f>
      </c>
      <c r="AN161" s="4">
        <f>(J160+T161)-AD161</f>
      </c>
      <c r="AO161" s="4">
        <f>(K160+U161)-AE161</f>
      </c>
      <c r="AP161" s="4">
        <f>(L160+V161)-AF161</f>
      </c>
      <c r="AQ161" s="4">
        <f>(M160+W161)-AG161</f>
      </c>
      <c r="AR161" s="4">
        <f>(N160+X161)-AH161</f>
      </c>
      <c r="AS161" s="4">
        <f>(O160+Y161)-AI161</f>
      </c>
      <c r="AT161" s="4">
        <f>(P160+Z161)-AJ161</f>
      </c>
      <c r="AU161" s="4">
        <f>$B$16+SUM($K$5:$K$14)-SUM(AA161:AJ161)</f>
      </c>
      <c r="AV161" s="4">
        <f>AU161-BE161</f>
      </c>
      <c r="AW161" s="4">
        <f>AV161-BF161</f>
      </c>
      <c r="AX161" s="4">
        <f>AW161-BG161</f>
      </c>
      <c r="AY161" s="4">
        <f>AX161-BH161</f>
      </c>
      <c r="AZ161" s="4">
        <f>AY161-BI161</f>
      </c>
      <c r="BA161" s="4">
        <f>AZ161-BJ161</f>
      </c>
      <c r="BB161" s="4">
        <f>BA161-BK161</f>
      </c>
      <c r="BC161" s="4">
        <f>BB161-BL161</f>
      </c>
      <c r="BD161" s="4">
        <f>BC161-BM161</f>
      </c>
      <c r="BE161" s="4">
        <f>IF(G160&lt;=0,0,MIN(AU161,AK161))</f>
      </c>
      <c r="BF161" s="4">
        <f>IF(H160&lt;=0,0,MIN(AV161,AL161))</f>
      </c>
      <c r="BG161" s="4">
        <f>IF(I160&lt;=0,0,MIN(AW161,AM161))</f>
      </c>
      <c r="BH161" s="4">
        <f>IF(J160&lt;=0,0,MIN(AX161,AN161))</f>
      </c>
      <c r="BI161" s="4">
        <f>IF(K160&lt;=0,0,MIN(AY161,AO161))</f>
      </c>
      <c r="BJ161" s="4">
        <f>IF(L160&lt;=0,0,MIN(AZ161,AP161))</f>
      </c>
      <c r="BK161" s="4">
        <f>IF(M160&lt;=0,0,MIN(BA161,AQ161))</f>
      </c>
      <c r="BL161" s="4">
        <f>IF(N160&lt;=0,0,MIN(BB161,AR161))</f>
      </c>
      <c r="BM161" s="4">
        <f>IF(O160&lt;=0,0,MIN(BC161,AS161))</f>
      </c>
      <c r="BN161" s="4">
        <f>IF(P160&lt;=0,0,MIN(BD161,AT161))</f>
      </c>
    </row>
    <row r="162" spans="1:66" x14ac:dyDescent="0.25">
      <c r="A162">
        <v>135</v>
      </c>
      <c r="B162" s="7">
        <f>EDATE($B$17,135)</f>
      </c>
      <c r="C162" s="4">
        <f>SUM(G162:P162)</f>
      </c>
      <c r="D162" s="4">
        <f>SUM(Q162:Z162)</f>
      </c>
      <c r="E162" s="4">
        <f>SUM(AA162:AJ162)+SUM(BE162:BN162)</f>
      </c>
      <c r="G162" s="4">
        <f>MAX(0,AK162-BE162)</f>
      </c>
      <c r="H162" s="4">
        <f>MAX(0,AL162-BF162)</f>
      </c>
      <c r="I162" s="4">
        <f>MAX(0,AM162-BG162)</f>
      </c>
      <c r="J162" s="4">
        <f>MAX(0,AN162-BH162)</f>
      </c>
      <c r="K162" s="4">
        <f>MAX(0,AO162-BI162)</f>
      </c>
      <c r="L162" s="4">
        <f>MAX(0,AP162-BJ162)</f>
      </c>
      <c r="M162" s="4">
        <f>MAX(0,AQ162-BK162)</f>
      </c>
      <c r="N162" s="4">
        <f>MAX(0,AR162-BL162)</f>
      </c>
      <c r="O162" s="4">
        <f>MAX(0,AS162-BM162)</f>
      </c>
      <c r="P162" s="4">
        <f>MAX(0,AT162-BN162)</f>
      </c>
      <c r="Q162" s="4">
        <f>IF(G161&gt;0,G161*($J$5/100/12),0)</f>
      </c>
      <c r="R162" s="4">
        <f>IF(H161&gt;0,H161*($J$6/100/12),0)</f>
      </c>
      <c r="S162" s="4">
        <f>IF(I161&gt;0,I161*($J$7/100/12),0)</f>
      </c>
      <c r="T162" s="4">
        <f>IF(J161&gt;0,J161*($J$8/100/12),0)</f>
      </c>
      <c r="U162" s="4">
        <f>IF(K161&gt;0,K161*($J$9/100/12),0)</f>
      </c>
      <c r="V162" s="4">
        <f>IF(L161&gt;0,L161*($J$10/100/12),0)</f>
      </c>
      <c r="W162" s="4">
        <f>IF(M161&gt;0,M161*($J$11/100/12),0)</f>
      </c>
      <c r="X162" s="4">
        <f>IF(N161&gt;0,N161*($J$12/100/12),0)</f>
      </c>
      <c r="Y162" s="4">
        <f>IF(O161&gt;0,O161*($J$13/100/12),0)</f>
      </c>
      <c r="Z162" s="4">
        <f>IF(P161&gt;0,P161*($J$14/100/12),0)</f>
      </c>
      <c r="AA162" s="4">
        <f>IF(G161&lt;=0,0,MIN($K$5,(G161+Q162)))</f>
      </c>
      <c r="AB162" s="4">
        <f>IF(H161&lt;=0,0,MIN($K$6,(H161+R162)))</f>
      </c>
      <c r="AC162" s="4">
        <f>IF(I161&lt;=0,0,MIN($K$7,(I161+S162)))</f>
      </c>
      <c r="AD162" s="4">
        <f>IF(J161&lt;=0,0,MIN($K$8,(J161+T162)))</f>
      </c>
      <c r="AE162" s="4">
        <f>IF(K161&lt;=0,0,MIN($K$9,(K161+U162)))</f>
      </c>
      <c r="AF162" s="4">
        <f>IF(L161&lt;=0,0,MIN($K$10,(L161+V162)))</f>
      </c>
      <c r="AG162" s="4">
        <f>IF(M161&lt;=0,0,MIN($K$11,(M161+W162)))</f>
      </c>
      <c r="AH162" s="4">
        <f>IF(N161&lt;=0,0,MIN($K$12,(N161+X162)))</f>
      </c>
      <c r="AI162" s="4">
        <f>IF(O161&lt;=0,0,MIN($K$13,(O161+Y162)))</f>
      </c>
      <c r="AJ162" s="4">
        <f>IF(P161&lt;=0,0,MIN($K$14,(P161+Z162)))</f>
      </c>
      <c r="AK162" s="4">
        <f>(G161+Q162)-AA162</f>
      </c>
      <c r="AL162" s="4">
        <f>(H161+R162)-AB162</f>
      </c>
      <c r="AM162" s="4">
        <f>(I161+S162)-AC162</f>
      </c>
      <c r="AN162" s="4">
        <f>(J161+T162)-AD162</f>
      </c>
      <c r="AO162" s="4">
        <f>(K161+U162)-AE162</f>
      </c>
      <c r="AP162" s="4">
        <f>(L161+V162)-AF162</f>
      </c>
      <c r="AQ162" s="4">
        <f>(M161+W162)-AG162</f>
      </c>
      <c r="AR162" s="4">
        <f>(N161+X162)-AH162</f>
      </c>
      <c r="AS162" s="4">
        <f>(O161+Y162)-AI162</f>
      </c>
      <c r="AT162" s="4">
        <f>(P161+Z162)-AJ162</f>
      </c>
      <c r="AU162" s="4">
        <f>$B$16+SUM($K$5:$K$14)-SUM(AA162:AJ162)</f>
      </c>
      <c r="AV162" s="4">
        <f>AU162-BE162</f>
      </c>
      <c r="AW162" s="4">
        <f>AV162-BF162</f>
      </c>
      <c r="AX162" s="4">
        <f>AW162-BG162</f>
      </c>
      <c r="AY162" s="4">
        <f>AX162-BH162</f>
      </c>
      <c r="AZ162" s="4">
        <f>AY162-BI162</f>
      </c>
      <c r="BA162" s="4">
        <f>AZ162-BJ162</f>
      </c>
      <c r="BB162" s="4">
        <f>BA162-BK162</f>
      </c>
      <c r="BC162" s="4">
        <f>BB162-BL162</f>
      </c>
      <c r="BD162" s="4">
        <f>BC162-BM162</f>
      </c>
      <c r="BE162" s="4">
        <f>IF(G161&lt;=0,0,MIN(AU162,AK162))</f>
      </c>
      <c r="BF162" s="4">
        <f>IF(H161&lt;=0,0,MIN(AV162,AL162))</f>
      </c>
      <c r="BG162" s="4">
        <f>IF(I161&lt;=0,0,MIN(AW162,AM162))</f>
      </c>
      <c r="BH162" s="4">
        <f>IF(J161&lt;=0,0,MIN(AX162,AN162))</f>
      </c>
      <c r="BI162" s="4">
        <f>IF(K161&lt;=0,0,MIN(AY162,AO162))</f>
      </c>
      <c r="BJ162" s="4">
        <f>IF(L161&lt;=0,0,MIN(AZ162,AP162))</f>
      </c>
      <c r="BK162" s="4">
        <f>IF(M161&lt;=0,0,MIN(BA162,AQ162))</f>
      </c>
      <c r="BL162" s="4">
        <f>IF(N161&lt;=0,0,MIN(BB162,AR162))</f>
      </c>
      <c r="BM162" s="4">
        <f>IF(O161&lt;=0,0,MIN(BC162,AS162))</f>
      </c>
      <c r="BN162" s="4">
        <f>IF(P161&lt;=0,0,MIN(BD162,AT162))</f>
      </c>
    </row>
    <row r="163" spans="1:66" x14ac:dyDescent="0.25">
      <c r="A163">
        <v>136</v>
      </c>
      <c r="B163" s="7">
        <f>EDATE($B$17,136)</f>
      </c>
      <c r="C163" s="4">
        <f>SUM(G163:P163)</f>
      </c>
      <c r="D163" s="4">
        <f>SUM(Q163:Z163)</f>
      </c>
      <c r="E163" s="4">
        <f>SUM(AA163:AJ163)+SUM(BE163:BN163)</f>
      </c>
      <c r="G163" s="4">
        <f>MAX(0,AK163-BE163)</f>
      </c>
      <c r="H163" s="4">
        <f>MAX(0,AL163-BF163)</f>
      </c>
      <c r="I163" s="4">
        <f>MAX(0,AM163-BG163)</f>
      </c>
      <c r="J163" s="4">
        <f>MAX(0,AN163-BH163)</f>
      </c>
      <c r="K163" s="4">
        <f>MAX(0,AO163-BI163)</f>
      </c>
      <c r="L163" s="4">
        <f>MAX(0,AP163-BJ163)</f>
      </c>
      <c r="M163" s="4">
        <f>MAX(0,AQ163-BK163)</f>
      </c>
      <c r="N163" s="4">
        <f>MAX(0,AR163-BL163)</f>
      </c>
      <c r="O163" s="4">
        <f>MAX(0,AS163-BM163)</f>
      </c>
      <c r="P163" s="4">
        <f>MAX(0,AT163-BN163)</f>
      </c>
      <c r="Q163" s="4">
        <f>IF(G162&gt;0,G162*($J$5/100/12),0)</f>
      </c>
      <c r="R163" s="4">
        <f>IF(H162&gt;0,H162*($J$6/100/12),0)</f>
      </c>
      <c r="S163" s="4">
        <f>IF(I162&gt;0,I162*($J$7/100/12),0)</f>
      </c>
      <c r="T163" s="4">
        <f>IF(J162&gt;0,J162*($J$8/100/12),0)</f>
      </c>
      <c r="U163" s="4">
        <f>IF(K162&gt;0,K162*($J$9/100/12),0)</f>
      </c>
      <c r="V163" s="4">
        <f>IF(L162&gt;0,L162*($J$10/100/12),0)</f>
      </c>
      <c r="W163" s="4">
        <f>IF(M162&gt;0,M162*($J$11/100/12),0)</f>
      </c>
      <c r="X163" s="4">
        <f>IF(N162&gt;0,N162*($J$12/100/12),0)</f>
      </c>
      <c r="Y163" s="4">
        <f>IF(O162&gt;0,O162*($J$13/100/12),0)</f>
      </c>
      <c r="Z163" s="4">
        <f>IF(P162&gt;0,P162*($J$14/100/12),0)</f>
      </c>
      <c r="AA163" s="4">
        <f>IF(G162&lt;=0,0,MIN($K$5,(G162+Q163)))</f>
      </c>
      <c r="AB163" s="4">
        <f>IF(H162&lt;=0,0,MIN($K$6,(H162+R163)))</f>
      </c>
      <c r="AC163" s="4">
        <f>IF(I162&lt;=0,0,MIN($K$7,(I162+S163)))</f>
      </c>
      <c r="AD163" s="4">
        <f>IF(J162&lt;=0,0,MIN($K$8,(J162+T163)))</f>
      </c>
      <c r="AE163" s="4">
        <f>IF(K162&lt;=0,0,MIN($K$9,(K162+U163)))</f>
      </c>
      <c r="AF163" s="4">
        <f>IF(L162&lt;=0,0,MIN($K$10,(L162+V163)))</f>
      </c>
      <c r="AG163" s="4">
        <f>IF(M162&lt;=0,0,MIN($K$11,(M162+W163)))</f>
      </c>
      <c r="AH163" s="4">
        <f>IF(N162&lt;=0,0,MIN($K$12,(N162+X163)))</f>
      </c>
      <c r="AI163" s="4">
        <f>IF(O162&lt;=0,0,MIN($K$13,(O162+Y163)))</f>
      </c>
      <c r="AJ163" s="4">
        <f>IF(P162&lt;=0,0,MIN($K$14,(P162+Z163)))</f>
      </c>
      <c r="AK163" s="4">
        <f>(G162+Q163)-AA163</f>
      </c>
      <c r="AL163" s="4">
        <f>(H162+R163)-AB163</f>
      </c>
      <c r="AM163" s="4">
        <f>(I162+S163)-AC163</f>
      </c>
      <c r="AN163" s="4">
        <f>(J162+T163)-AD163</f>
      </c>
      <c r="AO163" s="4">
        <f>(K162+U163)-AE163</f>
      </c>
      <c r="AP163" s="4">
        <f>(L162+V163)-AF163</f>
      </c>
      <c r="AQ163" s="4">
        <f>(M162+W163)-AG163</f>
      </c>
      <c r="AR163" s="4">
        <f>(N162+X163)-AH163</f>
      </c>
      <c r="AS163" s="4">
        <f>(O162+Y163)-AI163</f>
      </c>
      <c r="AT163" s="4">
        <f>(P162+Z163)-AJ163</f>
      </c>
      <c r="AU163" s="4">
        <f>$B$16+SUM($K$5:$K$14)-SUM(AA163:AJ163)</f>
      </c>
      <c r="AV163" s="4">
        <f>AU163-BE163</f>
      </c>
      <c r="AW163" s="4">
        <f>AV163-BF163</f>
      </c>
      <c r="AX163" s="4">
        <f>AW163-BG163</f>
      </c>
      <c r="AY163" s="4">
        <f>AX163-BH163</f>
      </c>
      <c r="AZ163" s="4">
        <f>AY163-BI163</f>
      </c>
      <c r="BA163" s="4">
        <f>AZ163-BJ163</f>
      </c>
      <c r="BB163" s="4">
        <f>BA163-BK163</f>
      </c>
      <c r="BC163" s="4">
        <f>BB163-BL163</f>
      </c>
      <c r="BD163" s="4">
        <f>BC163-BM163</f>
      </c>
      <c r="BE163" s="4">
        <f>IF(G162&lt;=0,0,MIN(AU163,AK163))</f>
      </c>
      <c r="BF163" s="4">
        <f>IF(H162&lt;=0,0,MIN(AV163,AL163))</f>
      </c>
      <c r="BG163" s="4">
        <f>IF(I162&lt;=0,0,MIN(AW163,AM163))</f>
      </c>
      <c r="BH163" s="4">
        <f>IF(J162&lt;=0,0,MIN(AX163,AN163))</f>
      </c>
      <c r="BI163" s="4">
        <f>IF(K162&lt;=0,0,MIN(AY163,AO163))</f>
      </c>
      <c r="BJ163" s="4">
        <f>IF(L162&lt;=0,0,MIN(AZ163,AP163))</f>
      </c>
      <c r="BK163" s="4">
        <f>IF(M162&lt;=0,0,MIN(BA163,AQ163))</f>
      </c>
      <c r="BL163" s="4">
        <f>IF(N162&lt;=0,0,MIN(BB163,AR163))</f>
      </c>
      <c r="BM163" s="4">
        <f>IF(O162&lt;=0,0,MIN(BC163,AS163))</f>
      </c>
      <c r="BN163" s="4">
        <f>IF(P162&lt;=0,0,MIN(BD163,AT163))</f>
      </c>
    </row>
    <row r="164" spans="1:66" x14ac:dyDescent="0.25">
      <c r="A164">
        <v>137</v>
      </c>
      <c r="B164" s="7">
        <f>EDATE($B$17,137)</f>
      </c>
      <c r="C164" s="4">
        <f>SUM(G164:P164)</f>
      </c>
      <c r="D164" s="4">
        <f>SUM(Q164:Z164)</f>
      </c>
      <c r="E164" s="4">
        <f>SUM(AA164:AJ164)+SUM(BE164:BN164)</f>
      </c>
      <c r="G164" s="4">
        <f>MAX(0,AK164-BE164)</f>
      </c>
      <c r="H164" s="4">
        <f>MAX(0,AL164-BF164)</f>
      </c>
      <c r="I164" s="4">
        <f>MAX(0,AM164-BG164)</f>
      </c>
      <c r="J164" s="4">
        <f>MAX(0,AN164-BH164)</f>
      </c>
      <c r="K164" s="4">
        <f>MAX(0,AO164-BI164)</f>
      </c>
      <c r="L164" s="4">
        <f>MAX(0,AP164-BJ164)</f>
      </c>
      <c r="M164" s="4">
        <f>MAX(0,AQ164-BK164)</f>
      </c>
      <c r="N164" s="4">
        <f>MAX(0,AR164-BL164)</f>
      </c>
      <c r="O164" s="4">
        <f>MAX(0,AS164-BM164)</f>
      </c>
      <c r="P164" s="4">
        <f>MAX(0,AT164-BN164)</f>
      </c>
      <c r="Q164" s="4">
        <f>IF(G163&gt;0,G163*($J$5/100/12),0)</f>
      </c>
      <c r="R164" s="4">
        <f>IF(H163&gt;0,H163*($J$6/100/12),0)</f>
      </c>
      <c r="S164" s="4">
        <f>IF(I163&gt;0,I163*($J$7/100/12),0)</f>
      </c>
      <c r="T164" s="4">
        <f>IF(J163&gt;0,J163*($J$8/100/12),0)</f>
      </c>
      <c r="U164" s="4">
        <f>IF(K163&gt;0,K163*($J$9/100/12),0)</f>
      </c>
      <c r="V164" s="4">
        <f>IF(L163&gt;0,L163*($J$10/100/12),0)</f>
      </c>
      <c r="W164" s="4">
        <f>IF(M163&gt;0,M163*($J$11/100/12),0)</f>
      </c>
      <c r="X164" s="4">
        <f>IF(N163&gt;0,N163*($J$12/100/12),0)</f>
      </c>
      <c r="Y164" s="4">
        <f>IF(O163&gt;0,O163*($J$13/100/12),0)</f>
      </c>
      <c r="Z164" s="4">
        <f>IF(P163&gt;0,P163*($J$14/100/12),0)</f>
      </c>
      <c r="AA164" s="4">
        <f>IF(G163&lt;=0,0,MIN($K$5,(G163+Q164)))</f>
      </c>
      <c r="AB164" s="4">
        <f>IF(H163&lt;=0,0,MIN($K$6,(H163+R164)))</f>
      </c>
      <c r="AC164" s="4">
        <f>IF(I163&lt;=0,0,MIN($K$7,(I163+S164)))</f>
      </c>
      <c r="AD164" s="4">
        <f>IF(J163&lt;=0,0,MIN($K$8,(J163+T164)))</f>
      </c>
      <c r="AE164" s="4">
        <f>IF(K163&lt;=0,0,MIN($K$9,(K163+U164)))</f>
      </c>
      <c r="AF164" s="4">
        <f>IF(L163&lt;=0,0,MIN($K$10,(L163+V164)))</f>
      </c>
      <c r="AG164" s="4">
        <f>IF(M163&lt;=0,0,MIN($K$11,(M163+W164)))</f>
      </c>
      <c r="AH164" s="4">
        <f>IF(N163&lt;=0,0,MIN($K$12,(N163+X164)))</f>
      </c>
      <c r="AI164" s="4">
        <f>IF(O163&lt;=0,0,MIN($K$13,(O163+Y164)))</f>
      </c>
      <c r="AJ164" s="4">
        <f>IF(P163&lt;=0,0,MIN($K$14,(P163+Z164)))</f>
      </c>
      <c r="AK164" s="4">
        <f>(G163+Q164)-AA164</f>
      </c>
      <c r="AL164" s="4">
        <f>(H163+R164)-AB164</f>
      </c>
      <c r="AM164" s="4">
        <f>(I163+S164)-AC164</f>
      </c>
      <c r="AN164" s="4">
        <f>(J163+T164)-AD164</f>
      </c>
      <c r="AO164" s="4">
        <f>(K163+U164)-AE164</f>
      </c>
      <c r="AP164" s="4">
        <f>(L163+V164)-AF164</f>
      </c>
      <c r="AQ164" s="4">
        <f>(M163+W164)-AG164</f>
      </c>
      <c r="AR164" s="4">
        <f>(N163+X164)-AH164</f>
      </c>
      <c r="AS164" s="4">
        <f>(O163+Y164)-AI164</f>
      </c>
      <c r="AT164" s="4">
        <f>(P163+Z164)-AJ164</f>
      </c>
      <c r="AU164" s="4">
        <f>$B$16+SUM($K$5:$K$14)-SUM(AA164:AJ164)</f>
      </c>
      <c r="AV164" s="4">
        <f>AU164-BE164</f>
      </c>
      <c r="AW164" s="4">
        <f>AV164-BF164</f>
      </c>
      <c r="AX164" s="4">
        <f>AW164-BG164</f>
      </c>
      <c r="AY164" s="4">
        <f>AX164-BH164</f>
      </c>
      <c r="AZ164" s="4">
        <f>AY164-BI164</f>
      </c>
      <c r="BA164" s="4">
        <f>AZ164-BJ164</f>
      </c>
      <c r="BB164" s="4">
        <f>BA164-BK164</f>
      </c>
      <c r="BC164" s="4">
        <f>BB164-BL164</f>
      </c>
      <c r="BD164" s="4">
        <f>BC164-BM164</f>
      </c>
      <c r="BE164" s="4">
        <f>IF(G163&lt;=0,0,MIN(AU164,AK164))</f>
      </c>
      <c r="BF164" s="4">
        <f>IF(H163&lt;=0,0,MIN(AV164,AL164))</f>
      </c>
      <c r="BG164" s="4">
        <f>IF(I163&lt;=0,0,MIN(AW164,AM164))</f>
      </c>
      <c r="BH164" s="4">
        <f>IF(J163&lt;=0,0,MIN(AX164,AN164))</f>
      </c>
      <c r="BI164" s="4">
        <f>IF(K163&lt;=0,0,MIN(AY164,AO164))</f>
      </c>
      <c r="BJ164" s="4">
        <f>IF(L163&lt;=0,0,MIN(AZ164,AP164))</f>
      </c>
      <c r="BK164" s="4">
        <f>IF(M163&lt;=0,0,MIN(BA164,AQ164))</f>
      </c>
      <c r="BL164" s="4">
        <f>IF(N163&lt;=0,0,MIN(BB164,AR164))</f>
      </c>
      <c r="BM164" s="4">
        <f>IF(O163&lt;=0,0,MIN(BC164,AS164))</f>
      </c>
      <c r="BN164" s="4">
        <f>IF(P163&lt;=0,0,MIN(BD164,AT164))</f>
      </c>
    </row>
    <row r="165" spans="1:66" x14ac:dyDescent="0.25">
      <c r="A165">
        <v>138</v>
      </c>
      <c r="B165" s="7">
        <f>EDATE($B$17,138)</f>
      </c>
      <c r="C165" s="4">
        <f>SUM(G165:P165)</f>
      </c>
      <c r="D165" s="4">
        <f>SUM(Q165:Z165)</f>
      </c>
      <c r="E165" s="4">
        <f>SUM(AA165:AJ165)+SUM(BE165:BN165)</f>
      </c>
      <c r="G165" s="4">
        <f>MAX(0,AK165-BE165)</f>
      </c>
      <c r="H165" s="4">
        <f>MAX(0,AL165-BF165)</f>
      </c>
      <c r="I165" s="4">
        <f>MAX(0,AM165-BG165)</f>
      </c>
      <c r="J165" s="4">
        <f>MAX(0,AN165-BH165)</f>
      </c>
      <c r="K165" s="4">
        <f>MAX(0,AO165-BI165)</f>
      </c>
      <c r="L165" s="4">
        <f>MAX(0,AP165-BJ165)</f>
      </c>
      <c r="M165" s="4">
        <f>MAX(0,AQ165-BK165)</f>
      </c>
      <c r="N165" s="4">
        <f>MAX(0,AR165-BL165)</f>
      </c>
      <c r="O165" s="4">
        <f>MAX(0,AS165-BM165)</f>
      </c>
      <c r="P165" s="4">
        <f>MAX(0,AT165-BN165)</f>
      </c>
      <c r="Q165" s="4">
        <f>IF(G164&gt;0,G164*($J$5/100/12),0)</f>
      </c>
      <c r="R165" s="4">
        <f>IF(H164&gt;0,H164*($J$6/100/12),0)</f>
      </c>
      <c r="S165" s="4">
        <f>IF(I164&gt;0,I164*($J$7/100/12),0)</f>
      </c>
      <c r="T165" s="4">
        <f>IF(J164&gt;0,J164*($J$8/100/12),0)</f>
      </c>
      <c r="U165" s="4">
        <f>IF(K164&gt;0,K164*($J$9/100/12),0)</f>
      </c>
      <c r="V165" s="4">
        <f>IF(L164&gt;0,L164*($J$10/100/12),0)</f>
      </c>
      <c r="W165" s="4">
        <f>IF(M164&gt;0,M164*($J$11/100/12),0)</f>
      </c>
      <c r="X165" s="4">
        <f>IF(N164&gt;0,N164*($J$12/100/12),0)</f>
      </c>
      <c r="Y165" s="4">
        <f>IF(O164&gt;0,O164*($J$13/100/12),0)</f>
      </c>
      <c r="Z165" s="4">
        <f>IF(P164&gt;0,P164*($J$14/100/12),0)</f>
      </c>
      <c r="AA165" s="4">
        <f>IF(G164&lt;=0,0,MIN($K$5,(G164+Q165)))</f>
      </c>
      <c r="AB165" s="4">
        <f>IF(H164&lt;=0,0,MIN($K$6,(H164+R165)))</f>
      </c>
      <c r="AC165" s="4">
        <f>IF(I164&lt;=0,0,MIN($K$7,(I164+S165)))</f>
      </c>
      <c r="AD165" s="4">
        <f>IF(J164&lt;=0,0,MIN($K$8,(J164+T165)))</f>
      </c>
      <c r="AE165" s="4">
        <f>IF(K164&lt;=0,0,MIN($K$9,(K164+U165)))</f>
      </c>
      <c r="AF165" s="4">
        <f>IF(L164&lt;=0,0,MIN($K$10,(L164+V165)))</f>
      </c>
      <c r="AG165" s="4">
        <f>IF(M164&lt;=0,0,MIN($K$11,(M164+W165)))</f>
      </c>
      <c r="AH165" s="4">
        <f>IF(N164&lt;=0,0,MIN($K$12,(N164+X165)))</f>
      </c>
      <c r="AI165" s="4">
        <f>IF(O164&lt;=0,0,MIN($K$13,(O164+Y165)))</f>
      </c>
      <c r="AJ165" s="4">
        <f>IF(P164&lt;=0,0,MIN($K$14,(P164+Z165)))</f>
      </c>
      <c r="AK165" s="4">
        <f>(G164+Q165)-AA165</f>
      </c>
      <c r="AL165" s="4">
        <f>(H164+R165)-AB165</f>
      </c>
      <c r="AM165" s="4">
        <f>(I164+S165)-AC165</f>
      </c>
      <c r="AN165" s="4">
        <f>(J164+T165)-AD165</f>
      </c>
      <c r="AO165" s="4">
        <f>(K164+U165)-AE165</f>
      </c>
      <c r="AP165" s="4">
        <f>(L164+V165)-AF165</f>
      </c>
      <c r="AQ165" s="4">
        <f>(M164+W165)-AG165</f>
      </c>
      <c r="AR165" s="4">
        <f>(N164+X165)-AH165</f>
      </c>
      <c r="AS165" s="4">
        <f>(O164+Y165)-AI165</f>
      </c>
      <c r="AT165" s="4">
        <f>(P164+Z165)-AJ165</f>
      </c>
      <c r="AU165" s="4">
        <f>$B$16+SUM($K$5:$K$14)-SUM(AA165:AJ165)</f>
      </c>
      <c r="AV165" s="4">
        <f>AU165-BE165</f>
      </c>
      <c r="AW165" s="4">
        <f>AV165-BF165</f>
      </c>
      <c r="AX165" s="4">
        <f>AW165-BG165</f>
      </c>
      <c r="AY165" s="4">
        <f>AX165-BH165</f>
      </c>
      <c r="AZ165" s="4">
        <f>AY165-BI165</f>
      </c>
      <c r="BA165" s="4">
        <f>AZ165-BJ165</f>
      </c>
      <c r="BB165" s="4">
        <f>BA165-BK165</f>
      </c>
      <c r="BC165" s="4">
        <f>BB165-BL165</f>
      </c>
      <c r="BD165" s="4">
        <f>BC165-BM165</f>
      </c>
      <c r="BE165" s="4">
        <f>IF(G164&lt;=0,0,MIN(AU165,AK165))</f>
      </c>
      <c r="BF165" s="4">
        <f>IF(H164&lt;=0,0,MIN(AV165,AL165))</f>
      </c>
      <c r="BG165" s="4">
        <f>IF(I164&lt;=0,0,MIN(AW165,AM165))</f>
      </c>
      <c r="BH165" s="4">
        <f>IF(J164&lt;=0,0,MIN(AX165,AN165))</f>
      </c>
      <c r="BI165" s="4">
        <f>IF(K164&lt;=0,0,MIN(AY165,AO165))</f>
      </c>
      <c r="BJ165" s="4">
        <f>IF(L164&lt;=0,0,MIN(AZ165,AP165))</f>
      </c>
      <c r="BK165" s="4">
        <f>IF(M164&lt;=0,0,MIN(BA165,AQ165))</f>
      </c>
      <c r="BL165" s="4">
        <f>IF(N164&lt;=0,0,MIN(BB165,AR165))</f>
      </c>
      <c r="BM165" s="4">
        <f>IF(O164&lt;=0,0,MIN(BC165,AS165))</f>
      </c>
      <c r="BN165" s="4">
        <f>IF(P164&lt;=0,0,MIN(BD165,AT165))</f>
      </c>
    </row>
    <row r="166" spans="1:66" x14ac:dyDescent="0.25">
      <c r="A166">
        <v>139</v>
      </c>
      <c r="B166" s="7">
        <f>EDATE($B$17,139)</f>
      </c>
      <c r="C166" s="4">
        <f>SUM(G166:P166)</f>
      </c>
      <c r="D166" s="4">
        <f>SUM(Q166:Z166)</f>
      </c>
      <c r="E166" s="4">
        <f>SUM(AA166:AJ166)+SUM(BE166:BN166)</f>
      </c>
      <c r="G166" s="4">
        <f>MAX(0,AK166-BE166)</f>
      </c>
      <c r="H166" s="4">
        <f>MAX(0,AL166-BF166)</f>
      </c>
      <c r="I166" s="4">
        <f>MAX(0,AM166-BG166)</f>
      </c>
      <c r="J166" s="4">
        <f>MAX(0,AN166-BH166)</f>
      </c>
      <c r="K166" s="4">
        <f>MAX(0,AO166-BI166)</f>
      </c>
      <c r="L166" s="4">
        <f>MAX(0,AP166-BJ166)</f>
      </c>
      <c r="M166" s="4">
        <f>MAX(0,AQ166-BK166)</f>
      </c>
      <c r="N166" s="4">
        <f>MAX(0,AR166-BL166)</f>
      </c>
      <c r="O166" s="4">
        <f>MAX(0,AS166-BM166)</f>
      </c>
      <c r="P166" s="4">
        <f>MAX(0,AT166-BN166)</f>
      </c>
      <c r="Q166" s="4">
        <f>IF(G165&gt;0,G165*($J$5/100/12),0)</f>
      </c>
      <c r="R166" s="4">
        <f>IF(H165&gt;0,H165*($J$6/100/12),0)</f>
      </c>
      <c r="S166" s="4">
        <f>IF(I165&gt;0,I165*($J$7/100/12),0)</f>
      </c>
      <c r="T166" s="4">
        <f>IF(J165&gt;0,J165*($J$8/100/12),0)</f>
      </c>
      <c r="U166" s="4">
        <f>IF(K165&gt;0,K165*($J$9/100/12),0)</f>
      </c>
      <c r="V166" s="4">
        <f>IF(L165&gt;0,L165*($J$10/100/12),0)</f>
      </c>
      <c r="W166" s="4">
        <f>IF(M165&gt;0,M165*($J$11/100/12),0)</f>
      </c>
      <c r="X166" s="4">
        <f>IF(N165&gt;0,N165*($J$12/100/12),0)</f>
      </c>
      <c r="Y166" s="4">
        <f>IF(O165&gt;0,O165*($J$13/100/12),0)</f>
      </c>
      <c r="Z166" s="4">
        <f>IF(P165&gt;0,P165*($J$14/100/12),0)</f>
      </c>
      <c r="AA166" s="4">
        <f>IF(G165&lt;=0,0,MIN($K$5,(G165+Q166)))</f>
      </c>
      <c r="AB166" s="4">
        <f>IF(H165&lt;=0,0,MIN($K$6,(H165+R166)))</f>
      </c>
      <c r="AC166" s="4">
        <f>IF(I165&lt;=0,0,MIN($K$7,(I165+S166)))</f>
      </c>
      <c r="AD166" s="4">
        <f>IF(J165&lt;=0,0,MIN($K$8,(J165+T166)))</f>
      </c>
      <c r="AE166" s="4">
        <f>IF(K165&lt;=0,0,MIN($K$9,(K165+U166)))</f>
      </c>
      <c r="AF166" s="4">
        <f>IF(L165&lt;=0,0,MIN($K$10,(L165+V166)))</f>
      </c>
      <c r="AG166" s="4">
        <f>IF(M165&lt;=0,0,MIN($K$11,(M165+W166)))</f>
      </c>
      <c r="AH166" s="4">
        <f>IF(N165&lt;=0,0,MIN($K$12,(N165+X166)))</f>
      </c>
      <c r="AI166" s="4">
        <f>IF(O165&lt;=0,0,MIN($K$13,(O165+Y166)))</f>
      </c>
      <c r="AJ166" s="4">
        <f>IF(P165&lt;=0,0,MIN($K$14,(P165+Z166)))</f>
      </c>
      <c r="AK166" s="4">
        <f>(G165+Q166)-AA166</f>
      </c>
      <c r="AL166" s="4">
        <f>(H165+R166)-AB166</f>
      </c>
      <c r="AM166" s="4">
        <f>(I165+S166)-AC166</f>
      </c>
      <c r="AN166" s="4">
        <f>(J165+T166)-AD166</f>
      </c>
      <c r="AO166" s="4">
        <f>(K165+U166)-AE166</f>
      </c>
      <c r="AP166" s="4">
        <f>(L165+V166)-AF166</f>
      </c>
      <c r="AQ166" s="4">
        <f>(M165+W166)-AG166</f>
      </c>
      <c r="AR166" s="4">
        <f>(N165+X166)-AH166</f>
      </c>
      <c r="AS166" s="4">
        <f>(O165+Y166)-AI166</f>
      </c>
      <c r="AT166" s="4">
        <f>(P165+Z166)-AJ166</f>
      </c>
      <c r="AU166" s="4">
        <f>$B$16+SUM($K$5:$K$14)-SUM(AA166:AJ166)</f>
      </c>
      <c r="AV166" s="4">
        <f>AU166-BE166</f>
      </c>
      <c r="AW166" s="4">
        <f>AV166-BF166</f>
      </c>
      <c r="AX166" s="4">
        <f>AW166-BG166</f>
      </c>
      <c r="AY166" s="4">
        <f>AX166-BH166</f>
      </c>
      <c r="AZ166" s="4">
        <f>AY166-BI166</f>
      </c>
      <c r="BA166" s="4">
        <f>AZ166-BJ166</f>
      </c>
      <c r="BB166" s="4">
        <f>BA166-BK166</f>
      </c>
      <c r="BC166" s="4">
        <f>BB166-BL166</f>
      </c>
      <c r="BD166" s="4">
        <f>BC166-BM166</f>
      </c>
      <c r="BE166" s="4">
        <f>IF(G165&lt;=0,0,MIN(AU166,AK166))</f>
      </c>
      <c r="BF166" s="4">
        <f>IF(H165&lt;=0,0,MIN(AV166,AL166))</f>
      </c>
      <c r="BG166" s="4">
        <f>IF(I165&lt;=0,0,MIN(AW166,AM166))</f>
      </c>
      <c r="BH166" s="4">
        <f>IF(J165&lt;=0,0,MIN(AX166,AN166))</f>
      </c>
      <c r="BI166" s="4">
        <f>IF(K165&lt;=0,0,MIN(AY166,AO166))</f>
      </c>
      <c r="BJ166" s="4">
        <f>IF(L165&lt;=0,0,MIN(AZ166,AP166))</f>
      </c>
      <c r="BK166" s="4">
        <f>IF(M165&lt;=0,0,MIN(BA166,AQ166))</f>
      </c>
      <c r="BL166" s="4">
        <f>IF(N165&lt;=0,0,MIN(BB166,AR166))</f>
      </c>
      <c r="BM166" s="4">
        <f>IF(O165&lt;=0,0,MIN(BC166,AS166))</f>
      </c>
      <c r="BN166" s="4">
        <f>IF(P165&lt;=0,0,MIN(BD166,AT166))</f>
      </c>
    </row>
    <row r="167" spans="1:66" x14ac:dyDescent="0.25">
      <c r="A167">
        <v>140</v>
      </c>
      <c r="B167" s="7">
        <f>EDATE($B$17,140)</f>
      </c>
      <c r="C167" s="4">
        <f>SUM(G167:P167)</f>
      </c>
      <c r="D167" s="4">
        <f>SUM(Q167:Z167)</f>
      </c>
      <c r="E167" s="4">
        <f>SUM(AA167:AJ167)+SUM(BE167:BN167)</f>
      </c>
      <c r="G167" s="4">
        <f>MAX(0,AK167-BE167)</f>
      </c>
      <c r="H167" s="4">
        <f>MAX(0,AL167-BF167)</f>
      </c>
      <c r="I167" s="4">
        <f>MAX(0,AM167-BG167)</f>
      </c>
      <c r="J167" s="4">
        <f>MAX(0,AN167-BH167)</f>
      </c>
      <c r="K167" s="4">
        <f>MAX(0,AO167-BI167)</f>
      </c>
      <c r="L167" s="4">
        <f>MAX(0,AP167-BJ167)</f>
      </c>
      <c r="M167" s="4">
        <f>MAX(0,AQ167-BK167)</f>
      </c>
      <c r="N167" s="4">
        <f>MAX(0,AR167-BL167)</f>
      </c>
      <c r="O167" s="4">
        <f>MAX(0,AS167-BM167)</f>
      </c>
      <c r="P167" s="4">
        <f>MAX(0,AT167-BN167)</f>
      </c>
      <c r="Q167" s="4">
        <f>IF(G166&gt;0,G166*($J$5/100/12),0)</f>
      </c>
      <c r="R167" s="4">
        <f>IF(H166&gt;0,H166*($J$6/100/12),0)</f>
      </c>
      <c r="S167" s="4">
        <f>IF(I166&gt;0,I166*($J$7/100/12),0)</f>
      </c>
      <c r="T167" s="4">
        <f>IF(J166&gt;0,J166*($J$8/100/12),0)</f>
      </c>
      <c r="U167" s="4">
        <f>IF(K166&gt;0,K166*($J$9/100/12),0)</f>
      </c>
      <c r="V167" s="4">
        <f>IF(L166&gt;0,L166*($J$10/100/12),0)</f>
      </c>
      <c r="W167" s="4">
        <f>IF(M166&gt;0,M166*($J$11/100/12),0)</f>
      </c>
      <c r="X167" s="4">
        <f>IF(N166&gt;0,N166*($J$12/100/12),0)</f>
      </c>
      <c r="Y167" s="4">
        <f>IF(O166&gt;0,O166*($J$13/100/12),0)</f>
      </c>
      <c r="Z167" s="4">
        <f>IF(P166&gt;0,P166*($J$14/100/12),0)</f>
      </c>
      <c r="AA167" s="4">
        <f>IF(G166&lt;=0,0,MIN($K$5,(G166+Q167)))</f>
      </c>
      <c r="AB167" s="4">
        <f>IF(H166&lt;=0,0,MIN($K$6,(H166+R167)))</f>
      </c>
      <c r="AC167" s="4">
        <f>IF(I166&lt;=0,0,MIN($K$7,(I166+S167)))</f>
      </c>
      <c r="AD167" s="4">
        <f>IF(J166&lt;=0,0,MIN($K$8,(J166+T167)))</f>
      </c>
      <c r="AE167" s="4">
        <f>IF(K166&lt;=0,0,MIN($K$9,(K166+U167)))</f>
      </c>
      <c r="AF167" s="4">
        <f>IF(L166&lt;=0,0,MIN($K$10,(L166+V167)))</f>
      </c>
      <c r="AG167" s="4">
        <f>IF(M166&lt;=0,0,MIN($K$11,(M166+W167)))</f>
      </c>
      <c r="AH167" s="4">
        <f>IF(N166&lt;=0,0,MIN($K$12,(N166+X167)))</f>
      </c>
      <c r="AI167" s="4">
        <f>IF(O166&lt;=0,0,MIN($K$13,(O166+Y167)))</f>
      </c>
      <c r="AJ167" s="4">
        <f>IF(P166&lt;=0,0,MIN($K$14,(P166+Z167)))</f>
      </c>
      <c r="AK167" s="4">
        <f>(G166+Q167)-AA167</f>
      </c>
      <c r="AL167" s="4">
        <f>(H166+R167)-AB167</f>
      </c>
      <c r="AM167" s="4">
        <f>(I166+S167)-AC167</f>
      </c>
      <c r="AN167" s="4">
        <f>(J166+T167)-AD167</f>
      </c>
      <c r="AO167" s="4">
        <f>(K166+U167)-AE167</f>
      </c>
      <c r="AP167" s="4">
        <f>(L166+V167)-AF167</f>
      </c>
      <c r="AQ167" s="4">
        <f>(M166+W167)-AG167</f>
      </c>
      <c r="AR167" s="4">
        <f>(N166+X167)-AH167</f>
      </c>
      <c r="AS167" s="4">
        <f>(O166+Y167)-AI167</f>
      </c>
      <c r="AT167" s="4">
        <f>(P166+Z167)-AJ167</f>
      </c>
      <c r="AU167" s="4">
        <f>$B$16+SUM($K$5:$K$14)-SUM(AA167:AJ167)</f>
      </c>
      <c r="AV167" s="4">
        <f>AU167-BE167</f>
      </c>
      <c r="AW167" s="4">
        <f>AV167-BF167</f>
      </c>
      <c r="AX167" s="4">
        <f>AW167-BG167</f>
      </c>
      <c r="AY167" s="4">
        <f>AX167-BH167</f>
      </c>
      <c r="AZ167" s="4">
        <f>AY167-BI167</f>
      </c>
      <c r="BA167" s="4">
        <f>AZ167-BJ167</f>
      </c>
      <c r="BB167" s="4">
        <f>BA167-BK167</f>
      </c>
      <c r="BC167" s="4">
        <f>BB167-BL167</f>
      </c>
      <c r="BD167" s="4">
        <f>BC167-BM167</f>
      </c>
      <c r="BE167" s="4">
        <f>IF(G166&lt;=0,0,MIN(AU167,AK167))</f>
      </c>
      <c r="BF167" s="4">
        <f>IF(H166&lt;=0,0,MIN(AV167,AL167))</f>
      </c>
      <c r="BG167" s="4">
        <f>IF(I166&lt;=0,0,MIN(AW167,AM167))</f>
      </c>
      <c r="BH167" s="4">
        <f>IF(J166&lt;=0,0,MIN(AX167,AN167))</f>
      </c>
      <c r="BI167" s="4">
        <f>IF(K166&lt;=0,0,MIN(AY167,AO167))</f>
      </c>
      <c r="BJ167" s="4">
        <f>IF(L166&lt;=0,0,MIN(AZ167,AP167))</f>
      </c>
      <c r="BK167" s="4">
        <f>IF(M166&lt;=0,0,MIN(BA167,AQ167))</f>
      </c>
      <c r="BL167" s="4">
        <f>IF(N166&lt;=0,0,MIN(BB167,AR167))</f>
      </c>
      <c r="BM167" s="4">
        <f>IF(O166&lt;=0,0,MIN(BC167,AS167))</f>
      </c>
      <c r="BN167" s="4">
        <f>IF(P166&lt;=0,0,MIN(BD167,AT167))</f>
      </c>
    </row>
    <row r="168" spans="1:66" x14ac:dyDescent="0.25">
      <c r="A168">
        <v>141</v>
      </c>
      <c r="B168" s="7">
        <f>EDATE($B$17,141)</f>
      </c>
      <c r="C168" s="4">
        <f>SUM(G168:P168)</f>
      </c>
      <c r="D168" s="4">
        <f>SUM(Q168:Z168)</f>
      </c>
      <c r="E168" s="4">
        <f>SUM(AA168:AJ168)+SUM(BE168:BN168)</f>
      </c>
      <c r="G168" s="4">
        <f>MAX(0,AK168-BE168)</f>
      </c>
      <c r="H168" s="4">
        <f>MAX(0,AL168-BF168)</f>
      </c>
      <c r="I168" s="4">
        <f>MAX(0,AM168-BG168)</f>
      </c>
      <c r="J168" s="4">
        <f>MAX(0,AN168-BH168)</f>
      </c>
      <c r="K168" s="4">
        <f>MAX(0,AO168-BI168)</f>
      </c>
      <c r="L168" s="4">
        <f>MAX(0,AP168-BJ168)</f>
      </c>
      <c r="M168" s="4">
        <f>MAX(0,AQ168-BK168)</f>
      </c>
      <c r="N168" s="4">
        <f>MAX(0,AR168-BL168)</f>
      </c>
      <c r="O168" s="4">
        <f>MAX(0,AS168-BM168)</f>
      </c>
      <c r="P168" s="4">
        <f>MAX(0,AT168-BN168)</f>
      </c>
      <c r="Q168" s="4">
        <f>IF(G167&gt;0,G167*($J$5/100/12),0)</f>
      </c>
      <c r="R168" s="4">
        <f>IF(H167&gt;0,H167*($J$6/100/12),0)</f>
      </c>
      <c r="S168" s="4">
        <f>IF(I167&gt;0,I167*($J$7/100/12),0)</f>
      </c>
      <c r="T168" s="4">
        <f>IF(J167&gt;0,J167*($J$8/100/12),0)</f>
      </c>
      <c r="U168" s="4">
        <f>IF(K167&gt;0,K167*($J$9/100/12),0)</f>
      </c>
      <c r="V168" s="4">
        <f>IF(L167&gt;0,L167*($J$10/100/12),0)</f>
      </c>
      <c r="W168" s="4">
        <f>IF(M167&gt;0,M167*($J$11/100/12),0)</f>
      </c>
      <c r="X168" s="4">
        <f>IF(N167&gt;0,N167*($J$12/100/12),0)</f>
      </c>
      <c r="Y168" s="4">
        <f>IF(O167&gt;0,O167*($J$13/100/12),0)</f>
      </c>
      <c r="Z168" s="4">
        <f>IF(P167&gt;0,P167*($J$14/100/12),0)</f>
      </c>
      <c r="AA168" s="4">
        <f>IF(G167&lt;=0,0,MIN($K$5,(G167+Q168)))</f>
      </c>
      <c r="AB168" s="4">
        <f>IF(H167&lt;=0,0,MIN($K$6,(H167+R168)))</f>
      </c>
      <c r="AC168" s="4">
        <f>IF(I167&lt;=0,0,MIN($K$7,(I167+S168)))</f>
      </c>
      <c r="AD168" s="4">
        <f>IF(J167&lt;=0,0,MIN($K$8,(J167+T168)))</f>
      </c>
      <c r="AE168" s="4">
        <f>IF(K167&lt;=0,0,MIN($K$9,(K167+U168)))</f>
      </c>
      <c r="AF168" s="4">
        <f>IF(L167&lt;=0,0,MIN($K$10,(L167+V168)))</f>
      </c>
      <c r="AG168" s="4">
        <f>IF(M167&lt;=0,0,MIN($K$11,(M167+W168)))</f>
      </c>
      <c r="AH168" s="4">
        <f>IF(N167&lt;=0,0,MIN($K$12,(N167+X168)))</f>
      </c>
      <c r="AI168" s="4">
        <f>IF(O167&lt;=0,0,MIN($K$13,(O167+Y168)))</f>
      </c>
      <c r="AJ168" s="4">
        <f>IF(P167&lt;=0,0,MIN($K$14,(P167+Z168)))</f>
      </c>
      <c r="AK168" s="4">
        <f>(G167+Q168)-AA168</f>
      </c>
      <c r="AL168" s="4">
        <f>(H167+R168)-AB168</f>
      </c>
      <c r="AM168" s="4">
        <f>(I167+S168)-AC168</f>
      </c>
      <c r="AN168" s="4">
        <f>(J167+T168)-AD168</f>
      </c>
      <c r="AO168" s="4">
        <f>(K167+U168)-AE168</f>
      </c>
      <c r="AP168" s="4">
        <f>(L167+V168)-AF168</f>
      </c>
      <c r="AQ168" s="4">
        <f>(M167+W168)-AG168</f>
      </c>
      <c r="AR168" s="4">
        <f>(N167+X168)-AH168</f>
      </c>
      <c r="AS168" s="4">
        <f>(O167+Y168)-AI168</f>
      </c>
      <c r="AT168" s="4">
        <f>(P167+Z168)-AJ168</f>
      </c>
      <c r="AU168" s="4">
        <f>$B$16+SUM($K$5:$K$14)-SUM(AA168:AJ168)</f>
      </c>
      <c r="AV168" s="4">
        <f>AU168-BE168</f>
      </c>
      <c r="AW168" s="4">
        <f>AV168-BF168</f>
      </c>
      <c r="AX168" s="4">
        <f>AW168-BG168</f>
      </c>
      <c r="AY168" s="4">
        <f>AX168-BH168</f>
      </c>
      <c r="AZ168" s="4">
        <f>AY168-BI168</f>
      </c>
      <c r="BA168" s="4">
        <f>AZ168-BJ168</f>
      </c>
      <c r="BB168" s="4">
        <f>BA168-BK168</f>
      </c>
      <c r="BC168" s="4">
        <f>BB168-BL168</f>
      </c>
      <c r="BD168" s="4">
        <f>BC168-BM168</f>
      </c>
      <c r="BE168" s="4">
        <f>IF(G167&lt;=0,0,MIN(AU168,AK168))</f>
      </c>
      <c r="BF168" s="4">
        <f>IF(H167&lt;=0,0,MIN(AV168,AL168))</f>
      </c>
      <c r="BG168" s="4">
        <f>IF(I167&lt;=0,0,MIN(AW168,AM168))</f>
      </c>
      <c r="BH168" s="4">
        <f>IF(J167&lt;=0,0,MIN(AX168,AN168))</f>
      </c>
      <c r="BI168" s="4">
        <f>IF(K167&lt;=0,0,MIN(AY168,AO168))</f>
      </c>
      <c r="BJ168" s="4">
        <f>IF(L167&lt;=0,0,MIN(AZ168,AP168))</f>
      </c>
      <c r="BK168" s="4">
        <f>IF(M167&lt;=0,0,MIN(BA168,AQ168))</f>
      </c>
      <c r="BL168" s="4">
        <f>IF(N167&lt;=0,0,MIN(BB168,AR168))</f>
      </c>
      <c r="BM168" s="4">
        <f>IF(O167&lt;=0,0,MIN(BC168,AS168))</f>
      </c>
      <c r="BN168" s="4">
        <f>IF(P167&lt;=0,0,MIN(BD168,AT168))</f>
      </c>
    </row>
    <row r="169" spans="1:66" x14ac:dyDescent="0.25">
      <c r="A169">
        <v>142</v>
      </c>
      <c r="B169" s="7">
        <f>EDATE($B$17,142)</f>
      </c>
      <c r="C169" s="4">
        <f>SUM(G169:P169)</f>
      </c>
      <c r="D169" s="4">
        <f>SUM(Q169:Z169)</f>
      </c>
      <c r="E169" s="4">
        <f>SUM(AA169:AJ169)+SUM(BE169:BN169)</f>
      </c>
      <c r="G169" s="4">
        <f>MAX(0,AK169-BE169)</f>
      </c>
      <c r="H169" s="4">
        <f>MAX(0,AL169-BF169)</f>
      </c>
      <c r="I169" s="4">
        <f>MAX(0,AM169-BG169)</f>
      </c>
      <c r="J169" s="4">
        <f>MAX(0,AN169-BH169)</f>
      </c>
      <c r="K169" s="4">
        <f>MAX(0,AO169-BI169)</f>
      </c>
      <c r="L169" s="4">
        <f>MAX(0,AP169-BJ169)</f>
      </c>
      <c r="M169" s="4">
        <f>MAX(0,AQ169-BK169)</f>
      </c>
      <c r="N169" s="4">
        <f>MAX(0,AR169-BL169)</f>
      </c>
      <c r="O169" s="4">
        <f>MAX(0,AS169-BM169)</f>
      </c>
      <c r="P169" s="4">
        <f>MAX(0,AT169-BN169)</f>
      </c>
      <c r="Q169" s="4">
        <f>IF(G168&gt;0,G168*($J$5/100/12),0)</f>
      </c>
      <c r="R169" s="4">
        <f>IF(H168&gt;0,H168*($J$6/100/12),0)</f>
      </c>
      <c r="S169" s="4">
        <f>IF(I168&gt;0,I168*($J$7/100/12),0)</f>
      </c>
      <c r="T169" s="4">
        <f>IF(J168&gt;0,J168*($J$8/100/12),0)</f>
      </c>
      <c r="U169" s="4">
        <f>IF(K168&gt;0,K168*($J$9/100/12),0)</f>
      </c>
      <c r="V169" s="4">
        <f>IF(L168&gt;0,L168*($J$10/100/12),0)</f>
      </c>
      <c r="W169" s="4">
        <f>IF(M168&gt;0,M168*($J$11/100/12),0)</f>
      </c>
      <c r="X169" s="4">
        <f>IF(N168&gt;0,N168*($J$12/100/12),0)</f>
      </c>
      <c r="Y169" s="4">
        <f>IF(O168&gt;0,O168*($J$13/100/12),0)</f>
      </c>
      <c r="Z169" s="4">
        <f>IF(P168&gt;0,P168*($J$14/100/12),0)</f>
      </c>
      <c r="AA169" s="4">
        <f>IF(G168&lt;=0,0,MIN($K$5,(G168+Q169)))</f>
      </c>
      <c r="AB169" s="4">
        <f>IF(H168&lt;=0,0,MIN($K$6,(H168+R169)))</f>
      </c>
      <c r="AC169" s="4">
        <f>IF(I168&lt;=0,0,MIN($K$7,(I168+S169)))</f>
      </c>
      <c r="AD169" s="4">
        <f>IF(J168&lt;=0,0,MIN($K$8,(J168+T169)))</f>
      </c>
      <c r="AE169" s="4">
        <f>IF(K168&lt;=0,0,MIN($K$9,(K168+U169)))</f>
      </c>
      <c r="AF169" s="4">
        <f>IF(L168&lt;=0,0,MIN($K$10,(L168+V169)))</f>
      </c>
      <c r="AG169" s="4">
        <f>IF(M168&lt;=0,0,MIN($K$11,(M168+W169)))</f>
      </c>
      <c r="AH169" s="4">
        <f>IF(N168&lt;=0,0,MIN($K$12,(N168+X169)))</f>
      </c>
      <c r="AI169" s="4">
        <f>IF(O168&lt;=0,0,MIN($K$13,(O168+Y169)))</f>
      </c>
      <c r="AJ169" s="4">
        <f>IF(P168&lt;=0,0,MIN($K$14,(P168+Z169)))</f>
      </c>
      <c r="AK169" s="4">
        <f>(G168+Q169)-AA169</f>
      </c>
      <c r="AL169" s="4">
        <f>(H168+R169)-AB169</f>
      </c>
      <c r="AM169" s="4">
        <f>(I168+S169)-AC169</f>
      </c>
      <c r="AN169" s="4">
        <f>(J168+T169)-AD169</f>
      </c>
      <c r="AO169" s="4">
        <f>(K168+U169)-AE169</f>
      </c>
      <c r="AP169" s="4">
        <f>(L168+V169)-AF169</f>
      </c>
      <c r="AQ169" s="4">
        <f>(M168+W169)-AG169</f>
      </c>
      <c r="AR169" s="4">
        <f>(N168+X169)-AH169</f>
      </c>
      <c r="AS169" s="4">
        <f>(O168+Y169)-AI169</f>
      </c>
      <c r="AT169" s="4">
        <f>(P168+Z169)-AJ169</f>
      </c>
      <c r="AU169" s="4">
        <f>$B$16+SUM($K$5:$K$14)-SUM(AA169:AJ169)</f>
      </c>
      <c r="AV169" s="4">
        <f>AU169-BE169</f>
      </c>
      <c r="AW169" s="4">
        <f>AV169-BF169</f>
      </c>
      <c r="AX169" s="4">
        <f>AW169-BG169</f>
      </c>
      <c r="AY169" s="4">
        <f>AX169-BH169</f>
      </c>
      <c r="AZ169" s="4">
        <f>AY169-BI169</f>
      </c>
      <c r="BA169" s="4">
        <f>AZ169-BJ169</f>
      </c>
      <c r="BB169" s="4">
        <f>BA169-BK169</f>
      </c>
      <c r="BC169" s="4">
        <f>BB169-BL169</f>
      </c>
      <c r="BD169" s="4">
        <f>BC169-BM169</f>
      </c>
      <c r="BE169" s="4">
        <f>IF(G168&lt;=0,0,MIN(AU169,AK169))</f>
      </c>
      <c r="BF169" s="4">
        <f>IF(H168&lt;=0,0,MIN(AV169,AL169))</f>
      </c>
      <c r="BG169" s="4">
        <f>IF(I168&lt;=0,0,MIN(AW169,AM169))</f>
      </c>
      <c r="BH169" s="4">
        <f>IF(J168&lt;=0,0,MIN(AX169,AN169))</f>
      </c>
      <c r="BI169" s="4">
        <f>IF(K168&lt;=0,0,MIN(AY169,AO169))</f>
      </c>
      <c r="BJ169" s="4">
        <f>IF(L168&lt;=0,0,MIN(AZ169,AP169))</f>
      </c>
      <c r="BK169" s="4">
        <f>IF(M168&lt;=0,0,MIN(BA169,AQ169))</f>
      </c>
      <c r="BL169" s="4">
        <f>IF(N168&lt;=0,0,MIN(BB169,AR169))</f>
      </c>
      <c r="BM169" s="4">
        <f>IF(O168&lt;=0,0,MIN(BC169,AS169))</f>
      </c>
      <c r="BN169" s="4">
        <f>IF(P168&lt;=0,0,MIN(BD169,AT169))</f>
      </c>
    </row>
    <row r="170" spans="1:66" x14ac:dyDescent="0.25">
      <c r="A170">
        <v>143</v>
      </c>
      <c r="B170" s="7">
        <f>EDATE($B$17,143)</f>
      </c>
      <c r="C170" s="4">
        <f>SUM(G170:P170)</f>
      </c>
      <c r="D170" s="4">
        <f>SUM(Q170:Z170)</f>
      </c>
      <c r="E170" s="4">
        <f>SUM(AA170:AJ170)+SUM(BE170:BN170)</f>
      </c>
      <c r="G170" s="4">
        <f>MAX(0,AK170-BE170)</f>
      </c>
      <c r="H170" s="4">
        <f>MAX(0,AL170-BF170)</f>
      </c>
      <c r="I170" s="4">
        <f>MAX(0,AM170-BG170)</f>
      </c>
      <c r="J170" s="4">
        <f>MAX(0,AN170-BH170)</f>
      </c>
      <c r="K170" s="4">
        <f>MAX(0,AO170-BI170)</f>
      </c>
      <c r="L170" s="4">
        <f>MAX(0,AP170-BJ170)</f>
      </c>
      <c r="M170" s="4">
        <f>MAX(0,AQ170-BK170)</f>
      </c>
      <c r="N170" s="4">
        <f>MAX(0,AR170-BL170)</f>
      </c>
      <c r="O170" s="4">
        <f>MAX(0,AS170-BM170)</f>
      </c>
      <c r="P170" s="4">
        <f>MAX(0,AT170-BN170)</f>
      </c>
      <c r="Q170" s="4">
        <f>IF(G169&gt;0,G169*($J$5/100/12),0)</f>
      </c>
      <c r="R170" s="4">
        <f>IF(H169&gt;0,H169*($J$6/100/12),0)</f>
      </c>
      <c r="S170" s="4">
        <f>IF(I169&gt;0,I169*($J$7/100/12),0)</f>
      </c>
      <c r="T170" s="4">
        <f>IF(J169&gt;0,J169*($J$8/100/12),0)</f>
      </c>
      <c r="U170" s="4">
        <f>IF(K169&gt;0,K169*($J$9/100/12),0)</f>
      </c>
      <c r="V170" s="4">
        <f>IF(L169&gt;0,L169*($J$10/100/12),0)</f>
      </c>
      <c r="W170" s="4">
        <f>IF(M169&gt;0,M169*($J$11/100/12),0)</f>
      </c>
      <c r="X170" s="4">
        <f>IF(N169&gt;0,N169*($J$12/100/12),0)</f>
      </c>
      <c r="Y170" s="4">
        <f>IF(O169&gt;0,O169*($J$13/100/12),0)</f>
      </c>
      <c r="Z170" s="4">
        <f>IF(P169&gt;0,P169*($J$14/100/12),0)</f>
      </c>
      <c r="AA170" s="4">
        <f>IF(G169&lt;=0,0,MIN($K$5,(G169+Q170)))</f>
      </c>
      <c r="AB170" s="4">
        <f>IF(H169&lt;=0,0,MIN($K$6,(H169+R170)))</f>
      </c>
      <c r="AC170" s="4">
        <f>IF(I169&lt;=0,0,MIN($K$7,(I169+S170)))</f>
      </c>
      <c r="AD170" s="4">
        <f>IF(J169&lt;=0,0,MIN($K$8,(J169+T170)))</f>
      </c>
      <c r="AE170" s="4">
        <f>IF(K169&lt;=0,0,MIN($K$9,(K169+U170)))</f>
      </c>
      <c r="AF170" s="4">
        <f>IF(L169&lt;=0,0,MIN($K$10,(L169+V170)))</f>
      </c>
      <c r="AG170" s="4">
        <f>IF(M169&lt;=0,0,MIN($K$11,(M169+W170)))</f>
      </c>
      <c r="AH170" s="4">
        <f>IF(N169&lt;=0,0,MIN($K$12,(N169+X170)))</f>
      </c>
      <c r="AI170" s="4">
        <f>IF(O169&lt;=0,0,MIN($K$13,(O169+Y170)))</f>
      </c>
      <c r="AJ170" s="4">
        <f>IF(P169&lt;=0,0,MIN($K$14,(P169+Z170)))</f>
      </c>
      <c r="AK170" s="4">
        <f>(G169+Q170)-AA170</f>
      </c>
      <c r="AL170" s="4">
        <f>(H169+R170)-AB170</f>
      </c>
      <c r="AM170" s="4">
        <f>(I169+S170)-AC170</f>
      </c>
      <c r="AN170" s="4">
        <f>(J169+T170)-AD170</f>
      </c>
      <c r="AO170" s="4">
        <f>(K169+U170)-AE170</f>
      </c>
      <c r="AP170" s="4">
        <f>(L169+V170)-AF170</f>
      </c>
      <c r="AQ170" s="4">
        <f>(M169+W170)-AG170</f>
      </c>
      <c r="AR170" s="4">
        <f>(N169+X170)-AH170</f>
      </c>
      <c r="AS170" s="4">
        <f>(O169+Y170)-AI170</f>
      </c>
      <c r="AT170" s="4">
        <f>(P169+Z170)-AJ170</f>
      </c>
      <c r="AU170" s="4">
        <f>$B$16+SUM($K$5:$K$14)-SUM(AA170:AJ170)</f>
      </c>
      <c r="AV170" s="4">
        <f>AU170-BE170</f>
      </c>
      <c r="AW170" s="4">
        <f>AV170-BF170</f>
      </c>
      <c r="AX170" s="4">
        <f>AW170-BG170</f>
      </c>
      <c r="AY170" s="4">
        <f>AX170-BH170</f>
      </c>
      <c r="AZ170" s="4">
        <f>AY170-BI170</f>
      </c>
      <c r="BA170" s="4">
        <f>AZ170-BJ170</f>
      </c>
      <c r="BB170" s="4">
        <f>BA170-BK170</f>
      </c>
      <c r="BC170" s="4">
        <f>BB170-BL170</f>
      </c>
      <c r="BD170" s="4">
        <f>BC170-BM170</f>
      </c>
      <c r="BE170" s="4">
        <f>IF(G169&lt;=0,0,MIN(AU170,AK170))</f>
      </c>
      <c r="BF170" s="4">
        <f>IF(H169&lt;=0,0,MIN(AV170,AL170))</f>
      </c>
      <c r="BG170" s="4">
        <f>IF(I169&lt;=0,0,MIN(AW170,AM170))</f>
      </c>
      <c r="BH170" s="4">
        <f>IF(J169&lt;=0,0,MIN(AX170,AN170))</f>
      </c>
      <c r="BI170" s="4">
        <f>IF(K169&lt;=0,0,MIN(AY170,AO170))</f>
      </c>
      <c r="BJ170" s="4">
        <f>IF(L169&lt;=0,0,MIN(AZ170,AP170))</f>
      </c>
      <c r="BK170" s="4">
        <f>IF(M169&lt;=0,0,MIN(BA170,AQ170))</f>
      </c>
      <c r="BL170" s="4">
        <f>IF(N169&lt;=0,0,MIN(BB170,AR170))</f>
      </c>
      <c r="BM170" s="4">
        <f>IF(O169&lt;=0,0,MIN(BC170,AS170))</f>
      </c>
      <c r="BN170" s="4">
        <f>IF(P169&lt;=0,0,MIN(BD170,AT170))</f>
      </c>
    </row>
    <row r="171" spans="1:66" x14ac:dyDescent="0.25">
      <c r="A171">
        <v>144</v>
      </c>
      <c r="B171" s="7">
        <f>EDATE($B$17,144)</f>
      </c>
      <c r="C171" s="4">
        <f>SUM(G171:P171)</f>
      </c>
      <c r="D171" s="4">
        <f>SUM(Q171:Z171)</f>
      </c>
      <c r="E171" s="4">
        <f>SUM(AA171:AJ171)+SUM(BE171:BN171)</f>
      </c>
      <c r="G171" s="4">
        <f>MAX(0,AK171-BE171)</f>
      </c>
      <c r="H171" s="4">
        <f>MAX(0,AL171-BF171)</f>
      </c>
      <c r="I171" s="4">
        <f>MAX(0,AM171-BG171)</f>
      </c>
      <c r="J171" s="4">
        <f>MAX(0,AN171-BH171)</f>
      </c>
      <c r="K171" s="4">
        <f>MAX(0,AO171-BI171)</f>
      </c>
      <c r="L171" s="4">
        <f>MAX(0,AP171-BJ171)</f>
      </c>
      <c r="M171" s="4">
        <f>MAX(0,AQ171-BK171)</f>
      </c>
      <c r="N171" s="4">
        <f>MAX(0,AR171-BL171)</f>
      </c>
      <c r="O171" s="4">
        <f>MAX(0,AS171-BM171)</f>
      </c>
      <c r="P171" s="4">
        <f>MAX(0,AT171-BN171)</f>
      </c>
      <c r="Q171" s="4">
        <f>IF(G170&gt;0,G170*($J$5/100/12),0)</f>
      </c>
      <c r="R171" s="4">
        <f>IF(H170&gt;0,H170*($J$6/100/12),0)</f>
      </c>
      <c r="S171" s="4">
        <f>IF(I170&gt;0,I170*($J$7/100/12),0)</f>
      </c>
      <c r="T171" s="4">
        <f>IF(J170&gt;0,J170*($J$8/100/12),0)</f>
      </c>
      <c r="U171" s="4">
        <f>IF(K170&gt;0,K170*($J$9/100/12),0)</f>
      </c>
      <c r="V171" s="4">
        <f>IF(L170&gt;0,L170*($J$10/100/12),0)</f>
      </c>
      <c r="W171" s="4">
        <f>IF(M170&gt;0,M170*($J$11/100/12),0)</f>
      </c>
      <c r="X171" s="4">
        <f>IF(N170&gt;0,N170*($J$12/100/12),0)</f>
      </c>
      <c r="Y171" s="4">
        <f>IF(O170&gt;0,O170*($J$13/100/12),0)</f>
      </c>
      <c r="Z171" s="4">
        <f>IF(P170&gt;0,P170*($J$14/100/12),0)</f>
      </c>
      <c r="AA171" s="4">
        <f>IF(G170&lt;=0,0,MIN($K$5,(G170+Q171)))</f>
      </c>
      <c r="AB171" s="4">
        <f>IF(H170&lt;=0,0,MIN($K$6,(H170+R171)))</f>
      </c>
      <c r="AC171" s="4">
        <f>IF(I170&lt;=0,0,MIN($K$7,(I170+S171)))</f>
      </c>
      <c r="AD171" s="4">
        <f>IF(J170&lt;=0,0,MIN($K$8,(J170+T171)))</f>
      </c>
      <c r="AE171" s="4">
        <f>IF(K170&lt;=0,0,MIN($K$9,(K170+U171)))</f>
      </c>
      <c r="AF171" s="4">
        <f>IF(L170&lt;=0,0,MIN($K$10,(L170+V171)))</f>
      </c>
      <c r="AG171" s="4">
        <f>IF(M170&lt;=0,0,MIN($K$11,(M170+W171)))</f>
      </c>
      <c r="AH171" s="4">
        <f>IF(N170&lt;=0,0,MIN($K$12,(N170+X171)))</f>
      </c>
      <c r="AI171" s="4">
        <f>IF(O170&lt;=0,0,MIN($K$13,(O170+Y171)))</f>
      </c>
      <c r="AJ171" s="4">
        <f>IF(P170&lt;=0,0,MIN($K$14,(P170+Z171)))</f>
      </c>
      <c r="AK171" s="4">
        <f>(G170+Q171)-AA171</f>
      </c>
      <c r="AL171" s="4">
        <f>(H170+R171)-AB171</f>
      </c>
      <c r="AM171" s="4">
        <f>(I170+S171)-AC171</f>
      </c>
      <c r="AN171" s="4">
        <f>(J170+T171)-AD171</f>
      </c>
      <c r="AO171" s="4">
        <f>(K170+U171)-AE171</f>
      </c>
      <c r="AP171" s="4">
        <f>(L170+V171)-AF171</f>
      </c>
      <c r="AQ171" s="4">
        <f>(M170+W171)-AG171</f>
      </c>
      <c r="AR171" s="4">
        <f>(N170+X171)-AH171</f>
      </c>
      <c r="AS171" s="4">
        <f>(O170+Y171)-AI171</f>
      </c>
      <c r="AT171" s="4">
        <f>(P170+Z171)-AJ171</f>
      </c>
      <c r="AU171" s="4">
        <f>$B$16+SUM($K$5:$K$14)-SUM(AA171:AJ171)</f>
      </c>
      <c r="AV171" s="4">
        <f>AU171-BE171</f>
      </c>
      <c r="AW171" s="4">
        <f>AV171-BF171</f>
      </c>
      <c r="AX171" s="4">
        <f>AW171-BG171</f>
      </c>
      <c r="AY171" s="4">
        <f>AX171-BH171</f>
      </c>
      <c r="AZ171" s="4">
        <f>AY171-BI171</f>
      </c>
      <c r="BA171" s="4">
        <f>AZ171-BJ171</f>
      </c>
      <c r="BB171" s="4">
        <f>BA171-BK171</f>
      </c>
      <c r="BC171" s="4">
        <f>BB171-BL171</f>
      </c>
      <c r="BD171" s="4">
        <f>BC171-BM171</f>
      </c>
      <c r="BE171" s="4">
        <f>IF(G170&lt;=0,0,MIN(AU171,AK171))</f>
      </c>
      <c r="BF171" s="4">
        <f>IF(H170&lt;=0,0,MIN(AV171,AL171))</f>
      </c>
      <c r="BG171" s="4">
        <f>IF(I170&lt;=0,0,MIN(AW171,AM171))</f>
      </c>
      <c r="BH171" s="4">
        <f>IF(J170&lt;=0,0,MIN(AX171,AN171))</f>
      </c>
      <c r="BI171" s="4">
        <f>IF(K170&lt;=0,0,MIN(AY171,AO171))</f>
      </c>
      <c r="BJ171" s="4">
        <f>IF(L170&lt;=0,0,MIN(AZ171,AP171))</f>
      </c>
      <c r="BK171" s="4">
        <f>IF(M170&lt;=0,0,MIN(BA171,AQ171))</f>
      </c>
      <c r="BL171" s="4">
        <f>IF(N170&lt;=0,0,MIN(BB171,AR171))</f>
      </c>
      <c r="BM171" s="4">
        <f>IF(O170&lt;=0,0,MIN(BC171,AS171))</f>
      </c>
      <c r="BN171" s="4">
        <f>IF(P170&lt;=0,0,MIN(BD171,AT171))</f>
      </c>
    </row>
    <row r="172" spans="1:66" x14ac:dyDescent="0.25">
      <c r="A172">
        <v>145</v>
      </c>
      <c r="B172" s="7">
        <f>EDATE($B$17,145)</f>
      </c>
      <c r="C172" s="4">
        <f>SUM(G172:P172)</f>
      </c>
      <c r="D172" s="4">
        <f>SUM(Q172:Z172)</f>
      </c>
      <c r="E172" s="4">
        <f>SUM(AA172:AJ172)+SUM(BE172:BN172)</f>
      </c>
      <c r="G172" s="4">
        <f>MAX(0,AK172-BE172)</f>
      </c>
      <c r="H172" s="4">
        <f>MAX(0,AL172-BF172)</f>
      </c>
      <c r="I172" s="4">
        <f>MAX(0,AM172-BG172)</f>
      </c>
      <c r="J172" s="4">
        <f>MAX(0,AN172-BH172)</f>
      </c>
      <c r="K172" s="4">
        <f>MAX(0,AO172-BI172)</f>
      </c>
      <c r="L172" s="4">
        <f>MAX(0,AP172-BJ172)</f>
      </c>
      <c r="M172" s="4">
        <f>MAX(0,AQ172-BK172)</f>
      </c>
      <c r="N172" s="4">
        <f>MAX(0,AR172-BL172)</f>
      </c>
      <c r="O172" s="4">
        <f>MAX(0,AS172-BM172)</f>
      </c>
      <c r="P172" s="4">
        <f>MAX(0,AT172-BN172)</f>
      </c>
      <c r="Q172" s="4">
        <f>IF(G171&gt;0,G171*($J$5/100/12),0)</f>
      </c>
      <c r="R172" s="4">
        <f>IF(H171&gt;0,H171*($J$6/100/12),0)</f>
      </c>
      <c r="S172" s="4">
        <f>IF(I171&gt;0,I171*($J$7/100/12),0)</f>
      </c>
      <c r="T172" s="4">
        <f>IF(J171&gt;0,J171*($J$8/100/12),0)</f>
      </c>
      <c r="U172" s="4">
        <f>IF(K171&gt;0,K171*($J$9/100/12),0)</f>
      </c>
      <c r="V172" s="4">
        <f>IF(L171&gt;0,L171*($J$10/100/12),0)</f>
      </c>
      <c r="W172" s="4">
        <f>IF(M171&gt;0,M171*($J$11/100/12),0)</f>
      </c>
      <c r="X172" s="4">
        <f>IF(N171&gt;0,N171*($J$12/100/12),0)</f>
      </c>
      <c r="Y172" s="4">
        <f>IF(O171&gt;0,O171*($J$13/100/12),0)</f>
      </c>
      <c r="Z172" s="4">
        <f>IF(P171&gt;0,P171*($J$14/100/12),0)</f>
      </c>
      <c r="AA172" s="4">
        <f>IF(G171&lt;=0,0,MIN($K$5,(G171+Q172)))</f>
      </c>
      <c r="AB172" s="4">
        <f>IF(H171&lt;=0,0,MIN($K$6,(H171+R172)))</f>
      </c>
      <c r="AC172" s="4">
        <f>IF(I171&lt;=0,0,MIN($K$7,(I171+S172)))</f>
      </c>
      <c r="AD172" s="4">
        <f>IF(J171&lt;=0,0,MIN($K$8,(J171+T172)))</f>
      </c>
      <c r="AE172" s="4">
        <f>IF(K171&lt;=0,0,MIN($K$9,(K171+U172)))</f>
      </c>
      <c r="AF172" s="4">
        <f>IF(L171&lt;=0,0,MIN($K$10,(L171+V172)))</f>
      </c>
      <c r="AG172" s="4">
        <f>IF(M171&lt;=0,0,MIN($K$11,(M171+W172)))</f>
      </c>
      <c r="AH172" s="4">
        <f>IF(N171&lt;=0,0,MIN($K$12,(N171+X172)))</f>
      </c>
      <c r="AI172" s="4">
        <f>IF(O171&lt;=0,0,MIN($K$13,(O171+Y172)))</f>
      </c>
      <c r="AJ172" s="4">
        <f>IF(P171&lt;=0,0,MIN($K$14,(P171+Z172)))</f>
      </c>
      <c r="AK172" s="4">
        <f>(G171+Q172)-AA172</f>
      </c>
      <c r="AL172" s="4">
        <f>(H171+R172)-AB172</f>
      </c>
      <c r="AM172" s="4">
        <f>(I171+S172)-AC172</f>
      </c>
      <c r="AN172" s="4">
        <f>(J171+T172)-AD172</f>
      </c>
      <c r="AO172" s="4">
        <f>(K171+U172)-AE172</f>
      </c>
      <c r="AP172" s="4">
        <f>(L171+V172)-AF172</f>
      </c>
      <c r="AQ172" s="4">
        <f>(M171+W172)-AG172</f>
      </c>
      <c r="AR172" s="4">
        <f>(N171+X172)-AH172</f>
      </c>
      <c r="AS172" s="4">
        <f>(O171+Y172)-AI172</f>
      </c>
      <c r="AT172" s="4">
        <f>(P171+Z172)-AJ172</f>
      </c>
      <c r="AU172" s="4">
        <f>$B$16+SUM($K$5:$K$14)-SUM(AA172:AJ172)</f>
      </c>
      <c r="AV172" s="4">
        <f>AU172-BE172</f>
      </c>
      <c r="AW172" s="4">
        <f>AV172-BF172</f>
      </c>
      <c r="AX172" s="4">
        <f>AW172-BG172</f>
      </c>
      <c r="AY172" s="4">
        <f>AX172-BH172</f>
      </c>
      <c r="AZ172" s="4">
        <f>AY172-BI172</f>
      </c>
      <c r="BA172" s="4">
        <f>AZ172-BJ172</f>
      </c>
      <c r="BB172" s="4">
        <f>BA172-BK172</f>
      </c>
      <c r="BC172" s="4">
        <f>BB172-BL172</f>
      </c>
      <c r="BD172" s="4">
        <f>BC172-BM172</f>
      </c>
      <c r="BE172" s="4">
        <f>IF(G171&lt;=0,0,MIN(AU172,AK172))</f>
      </c>
      <c r="BF172" s="4">
        <f>IF(H171&lt;=0,0,MIN(AV172,AL172))</f>
      </c>
      <c r="BG172" s="4">
        <f>IF(I171&lt;=0,0,MIN(AW172,AM172))</f>
      </c>
      <c r="BH172" s="4">
        <f>IF(J171&lt;=0,0,MIN(AX172,AN172))</f>
      </c>
      <c r="BI172" s="4">
        <f>IF(K171&lt;=0,0,MIN(AY172,AO172))</f>
      </c>
      <c r="BJ172" s="4">
        <f>IF(L171&lt;=0,0,MIN(AZ172,AP172))</f>
      </c>
      <c r="BK172" s="4">
        <f>IF(M171&lt;=0,0,MIN(BA172,AQ172))</f>
      </c>
      <c r="BL172" s="4">
        <f>IF(N171&lt;=0,0,MIN(BB172,AR172))</f>
      </c>
      <c r="BM172" s="4">
        <f>IF(O171&lt;=0,0,MIN(BC172,AS172))</f>
      </c>
      <c r="BN172" s="4">
        <f>IF(P171&lt;=0,0,MIN(BD172,AT172))</f>
      </c>
    </row>
    <row r="173" spans="1:66" x14ac:dyDescent="0.25">
      <c r="A173">
        <v>146</v>
      </c>
      <c r="B173" s="7">
        <f>EDATE($B$17,146)</f>
      </c>
      <c r="C173" s="4">
        <f>SUM(G173:P173)</f>
      </c>
      <c r="D173" s="4">
        <f>SUM(Q173:Z173)</f>
      </c>
      <c r="E173" s="4">
        <f>SUM(AA173:AJ173)+SUM(BE173:BN173)</f>
      </c>
      <c r="G173" s="4">
        <f>MAX(0,AK173-BE173)</f>
      </c>
      <c r="H173" s="4">
        <f>MAX(0,AL173-BF173)</f>
      </c>
      <c r="I173" s="4">
        <f>MAX(0,AM173-BG173)</f>
      </c>
      <c r="J173" s="4">
        <f>MAX(0,AN173-BH173)</f>
      </c>
      <c r="K173" s="4">
        <f>MAX(0,AO173-BI173)</f>
      </c>
      <c r="L173" s="4">
        <f>MAX(0,AP173-BJ173)</f>
      </c>
      <c r="M173" s="4">
        <f>MAX(0,AQ173-BK173)</f>
      </c>
      <c r="N173" s="4">
        <f>MAX(0,AR173-BL173)</f>
      </c>
      <c r="O173" s="4">
        <f>MAX(0,AS173-BM173)</f>
      </c>
      <c r="P173" s="4">
        <f>MAX(0,AT173-BN173)</f>
      </c>
      <c r="Q173" s="4">
        <f>IF(G172&gt;0,G172*($J$5/100/12),0)</f>
      </c>
      <c r="R173" s="4">
        <f>IF(H172&gt;0,H172*($J$6/100/12),0)</f>
      </c>
      <c r="S173" s="4">
        <f>IF(I172&gt;0,I172*($J$7/100/12),0)</f>
      </c>
      <c r="T173" s="4">
        <f>IF(J172&gt;0,J172*($J$8/100/12),0)</f>
      </c>
      <c r="U173" s="4">
        <f>IF(K172&gt;0,K172*($J$9/100/12),0)</f>
      </c>
      <c r="V173" s="4">
        <f>IF(L172&gt;0,L172*($J$10/100/12),0)</f>
      </c>
      <c r="W173" s="4">
        <f>IF(M172&gt;0,M172*($J$11/100/12),0)</f>
      </c>
      <c r="X173" s="4">
        <f>IF(N172&gt;0,N172*($J$12/100/12),0)</f>
      </c>
      <c r="Y173" s="4">
        <f>IF(O172&gt;0,O172*($J$13/100/12),0)</f>
      </c>
      <c r="Z173" s="4">
        <f>IF(P172&gt;0,P172*($J$14/100/12),0)</f>
      </c>
      <c r="AA173" s="4">
        <f>IF(G172&lt;=0,0,MIN($K$5,(G172+Q173)))</f>
      </c>
      <c r="AB173" s="4">
        <f>IF(H172&lt;=0,0,MIN($K$6,(H172+R173)))</f>
      </c>
      <c r="AC173" s="4">
        <f>IF(I172&lt;=0,0,MIN($K$7,(I172+S173)))</f>
      </c>
      <c r="AD173" s="4">
        <f>IF(J172&lt;=0,0,MIN($K$8,(J172+T173)))</f>
      </c>
      <c r="AE173" s="4">
        <f>IF(K172&lt;=0,0,MIN($K$9,(K172+U173)))</f>
      </c>
      <c r="AF173" s="4">
        <f>IF(L172&lt;=0,0,MIN($K$10,(L172+V173)))</f>
      </c>
      <c r="AG173" s="4">
        <f>IF(M172&lt;=0,0,MIN($K$11,(M172+W173)))</f>
      </c>
      <c r="AH173" s="4">
        <f>IF(N172&lt;=0,0,MIN($K$12,(N172+X173)))</f>
      </c>
      <c r="AI173" s="4">
        <f>IF(O172&lt;=0,0,MIN($K$13,(O172+Y173)))</f>
      </c>
      <c r="AJ173" s="4">
        <f>IF(P172&lt;=0,0,MIN($K$14,(P172+Z173)))</f>
      </c>
      <c r="AK173" s="4">
        <f>(G172+Q173)-AA173</f>
      </c>
      <c r="AL173" s="4">
        <f>(H172+R173)-AB173</f>
      </c>
      <c r="AM173" s="4">
        <f>(I172+S173)-AC173</f>
      </c>
      <c r="AN173" s="4">
        <f>(J172+T173)-AD173</f>
      </c>
      <c r="AO173" s="4">
        <f>(K172+U173)-AE173</f>
      </c>
      <c r="AP173" s="4">
        <f>(L172+V173)-AF173</f>
      </c>
      <c r="AQ173" s="4">
        <f>(M172+W173)-AG173</f>
      </c>
      <c r="AR173" s="4">
        <f>(N172+X173)-AH173</f>
      </c>
      <c r="AS173" s="4">
        <f>(O172+Y173)-AI173</f>
      </c>
      <c r="AT173" s="4">
        <f>(P172+Z173)-AJ173</f>
      </c>
      <c r="AU173" s="4">
        <f>$B$16+SUM($K$5:$K$14)-SUM(AA173:AJ173)</f>
      </c>
      <c r="AV173" s="4">
        <f>AU173-BE173</f>
      </c>
      <c r="AW173" s="4">
        <f>AV173-BF173</f>
      </c>
      <c r="AX173" s="4">
        <f>AW173-BG173</f>
      </c>
      <c r="AY173" s="4">
        <f>AX173-BH173</f>
      </c>
      <c r="AZ173" s="4">
        <f>AY173-BI173</f>
      </c>
      <c r="BA173" s="4">
        <f>AZ173-BJ173</f>
      </c>
      <c r="BB173" s="4">
        <f>BA173-BK173</f>
      </c>
      <c r="BC173" s="4">
        <f>BB173-BL173</f>
      </c>
      <c r="BD173" s="4">
        <f>BC173-BM173</f>
      </c>
      <c r="BE173" s="4">
        <f>IF(G172&lt;=0,0,MIN(AU173,AK173))</f>
      </c>
      <c r="BF173" s="4">
        <f>IF(H172&lt;=0,0,MIN(AV173,AL173))</f>
      </c>
      <c r="BG173" s="4">
        <f>IF(I172&lt;=0,0,MIN(AW173,AM173))</f>
      </c>
      <c r="BH173" s="4">
        <f>IF(J172&lt;=0,0,MIN(AX173,AN173))</f>
      </c>
      <c r="BI173" s="4">
        <f>IF(K172&lt;=0,0,MIN(AY173,AO173))</f>
      </c>
      <c r="BJ173" s="4">
        <f>IF(L172&lt;=0,0,MIN(AZ173,AP173))</f>
      </c>
      <c r="BK173" s="4">
        <f>IF(M172&lt;=0,0,MIN(BA173,AQ173))</f>
      </c>
      <c r="BL173" s="4">
        <f>IF(N172&lt;=0,0,MIN(BB173,AR173))</f>
      </c>
      <c r="BM173" s="4">
        <f>IF(O172&lt;=0,0,MIN(BC173,AS173))</f>
      </c>
      <c r="BN173" s="4">
        <f>IF(P172&lt;=0,0,MIN(BD173,AT173))</f>
      </c>
    </row>
    <row r="174" spans="1:66" x14ac:dyDescent="0.25">
      <c r="A174">
        <v>147</v>
      </c>
      <c r="B174" s="7">
        <f>EDATE($B$17,147)</f>
      </c>
      <c r="C174" s="4">
        <f>SUM(G174:P174)</f>
      </c>
      <c r="D174" s="4">
        <f>SUM(Q174:Z174)</f>
      </c>
      <c r="E174" s="4">
        <f>SUM(AA174:AJ174)+SUM(BE174:BN174)</f>
      </c>
      <c r="G174" s="4">
        <f>MAX(0,AK174-BE174)</f>
      </c>
      <c r="H174" s="4">
        <f>MAX(0,AL174-BF174)</f>
      </c>
      <c r="I174" s="4">
        <f>MAX(0,AM174-BG174)</f>
      </c>
      <c r="J174" s="4">
        <f>MAX(0,AN174-BH174)</f>
      </c>
      <c r="K174" s="4">
        <f>MAX(0,AO174-BI174)</f>
      </c>
      <c r="L174" s="4">
        <f>MAX(0,AP174-BJ174)</f>
      </c>
      <c r="M174" s="4">
        <f>MAX(0,AQ174-BK174)</f>
      </c>
      <c r="N174" s="4">
        <f>MAX(0,AR174-BL174)</f>
      </c>
      <c r="O174" s="4">
        <f>MAX(0,AS174-BM174)</f>
      </c>
      <c r="P174" s="4">
        <f>MAX(0,AT174-BN174)</f>
      </c>
      <c r="Q174" s="4">
        <f>IF(G173&gt;0,G173*($J$5/100/12),0)</f>
      </c>
      <c r="R174" s="4">
        <f>IF(H173&gt;0,H173*($J$6/100/12),0)</f>
      </c>
      <c r="S174" s="4">
        <f>IF(I173&gt;0,I173*($J$7/100/12),0)</f>
      </c>
      <c r="T174" s="4">
        <f>IF(J173&gt;0,J173*($J$8/100/12),0)</f>
      </c>
      <c r="U174" s="4">
        <f>IF(K173&gt;0,K173*($J$9/100/12),0)</f>
      </c>
      <c r="V174" s="4">
        <f>IF(L173&gt;0,L173*($J$10/100/12),0)</f>
      </c>
      <c r="W174" s="4">
        <f>IF(M173&gt;0,M173*($J$11/100/12),0)</f>
      </c>
      <c r="X174" s="4">
        <f>IF(N173&gt;0,N173*($J$12/100/12),0)</f>
      </c>
      <c r="Y174" s="4">
        <f>IF(O173&gt;0,O173*($J$13/100/12),0)</f>
      </c>
      <c r="Z174" s="4">
        <f>IF(P173&gt;0,P173*($J$14/100/12),0)</f>
      </c>
      <c r="AA174" s="4">
        <f>IF(G173&lt;=0,0,MIN($K$5,(G173+Q174)))</f>
      </c>
      <c r="AB174" s="4">
        <f>IF(H173&lt;=0,0,MIN($K$6,(H173+R174)))</f>
      </c>
      <c r="AC174" s="4">
        <f>IF(I173&lt;=0,0,MIN($K$7,(I173+S174)))</f>
      </c>
      <c r="AD174" s="4">
        <f>IF(J173&lt;=0,0,MIN($K$8,(J173+T174)))</f>
      </c>
      <c r="AE174" s="4">
        <f>IF(K173&lt;=0,0,MIN($K$9,(K173+U174)))</f>
      </c>
      <c r="AF174" s="4">
        <f>IF(L173&lt;=0,0,MIN($K$10,(L173+V174)))</f>
      </c>
      <c r="AG174" s="4">
        <f>IF(M173&lt;=0,0,MIN($K$11,(M173+W174)))</f>
      </c>
      <c r="AH174" s="4">
        <f>IF(N173&lt;=0,0,MIN($K$12,(N173+X174)))</f>
      </c>
      <c r="AI174" s="4">
        <f>IF(O173&lt;=0,0,MIN($K$13,(O173+Y174)))</f>
      </c>
      <c r="AJ174" s="4">
        <f>IF(P173&lt;=0,0,MIN($K$14,(P173+Z174)))</f>
      </c>
      <c r="AK174" s="4">
        <f>(G173+Q174)-AA174</f>
      </c>
      <c r="AL174" s="4">
        <f>(H173+R174)-AB174</f>
      </c>
      <c r="AM174" s="4">
        <f>(I173+S174)-AC174</f>
      </c>
      <c r="AN174" s="4">
        <f>(J173+T174)-AD174</f>
      </c>
      <c r="AO174" s="4">
        <f>(K173+U174)-AE174</f>
      </c>
      <c r="AP174" s="4">
        <f>(L173+V174)-AF174</f>
      </c>
      <c r="AQ174" s="4">
        <f>(M173+W174)-AG174</f>
      </c>
      <c r="AR174" s="4">
        <f>(N173+X174)-AH174</f>
      </c>
      <c r="AS174" s="4">
        <f>(O173+Y174)-AI174</f>
      </c>
      <c r="AT174" s="4">
        <f>(P173+Z174)-AJ174</f>
      </c>
      <c r="AU174" s="4">
        <f>$B$16+SUM($K$5:$K$14)-SUM(AA174:AJ174)</f>
      </c>
      <c r="AV174" s="4">
        <f>AU174-BE174</f>
      </c>
      <c r="AW174" s="4">
        <f>AV174-BF174</f>
      </c>
      <c r="AX174" s="4">
        <f>AW174-BG174</f>
      </c>
      <c r="AY174" s="4">
        <f>AX174-BH174</f>
      </c>
      <c r="AZ174" s="4">
        <f>AY174-BI174</f>
      </c>
      <c r="BA174" s="4">
        <f>AZ174-BJ174</f>
      </c>
      <c r="BB174" s="4">
        <f>BA174-BK174</f>
      </c>
      <c r="BC174" s="4">
        <f>BB174-BL174</f>
      </c>
      <c r="BD174" s="4">
        <f>BC174-BM174</f>
      </c>
      <c r="BE174" s="4">
        <f>IF(G173&lt;=0,0,MIN(AU174,AK174))</f>
      </c>
      <c r="BF174" s="4">
        <f>IF(H173&lt;=0,0,MIN(AV174,AL174))</f>
      </c>
      <c r="BG174" s="4">
        <f>IF(I173&lt;=0,0,MIN(AW174,AM174))</f>
      </c>
      <c r="BH174" s="4">
        <f>IF(J173&lt;=0,0,MIN(AX174,AN174))</f>
      </c>
      <c r="BI174" s="4">
        <f>IF(K173&lt;=0,0,MIN(AY174,AO174))</f>
      </c>
      <c r="BJ174" s="4">
        <f>IF(L173&lt;=0,0,MIN(AZ174,AP174))</f>
      </c>
      <c r="BK174" s="4">
        <f>IF(M173&lt;=0,0,MIN(BA174,AQ174))</f>
      </c>
      <c r="BL174" s="4">
        <f>IF(N173&lt;=0,0,MIN(BB174,AR174))</f>
      </c>
      <c r="BM174" s="4">
        <f>IF(O173&lt;=0,0,MIN(BC174,AS174))</f>
      </c>
      <c r="BN174" s="4">
        <f>IF(P173&lt;=0,0,MIN(BD174,AT174))</f>
      </c>
    </row>
    <row r="175" spans="1:66" x14ac:dyDescent="0.25">
      <c r="A175">
        <v>148</v>
      </c>
      <c r="B175" s="7">
        <f>EDATE($B$17,148)</f>
      </c>
      <c r="C175" s="4">
        <f>SUM(G175:P175)</f>
      </c>
      <c r="D175" s="4">
        <f>SUM(Q175:Z175)</f>
      </c>
      <c r="E175" s="4">
        <f>SUM(AA175:AJ175)+SUM(BE175:BN175)</f>
      </c>
      <c r="G175" s="4">
        <f>MAX(0,AK175-BE175)</f>
      </c>
      <c r="H175" s="4">
        <f>MAX(0,AL175-BF175)</f>
      </c>
      <c r="I175" s="4">
        <f>MAX(0,AM175-BG175)</f>
      </c>
      <c r="J175" s="4">
        <f>MAX(0,AN175-BH175)</f>
      </c>
      <c r="K175" s="4">
        <f>MAX(0,AO175-BI175)</f>
      </c>
      <c r="L175" s="4">
        <f>MAX(0,AP175-BJ175)</f>
      </c>
      <c r="M175" s="4">
        <f>MAX(0,AQ175-BK175)</f>
      </c>
      <c r="N175" s="4">
        <f>MAX(0,AR175-BL175)</f>
      </c>
      <c r="O175" s="4">
        <f>MAX(0,AS175-BM175)</f>
      </c>
      <c r="P175" s="4">
        <f>MAX(0,AT175-BN175)</f>
      </c>
      <c r="Q175" s="4">
        <f>IF(G174&gt;0,G174*($J$5/100/12),0)</f>
      </c>
      <c r="R175" s="4">
        <f>IF(H174&gt;0,H174*($J$6/100/12),0)</f>
      </c>
      <c r="S175" s="4">
        <f>IF(I174&gt;0,I174*($J$7/100/12),0)</f>
      </c>
      <c r="T175" s="4">
        <f>IF(J174&gt;0,J174*($J$8/100/12),0)</f>
      </c>
      <c r="U175" s="4">
        <f>IF(K174&gt;0,K174*($J$9/100/12),0)</f>
      </c>
      <c r="V175" s="4">
        <f>IF(L174&gt;0,L174*($J$10/100/12),0)</f>
      </c>
      <c r="W175" s="4">
        <f>IF(M174&gt;0,M174*($J$11/100/12),0)</f>
      </c>
      <c r="X175" s="4">
        <f>IF(N174&gt;0,N174*($J$12/100/12),0)</f>
      </c>
      <c r="Y175" s="4">
        <f>IF(O174&gt;0,O174*($J$13/100/12),0)</f>
      </c>
      <c r="Z175" s="4">
        <f>IF(P174&gt;0,P174*($J$14/100/12),0)</f>
      </c>
      <c r="AA175" s="4">
        <f>IF(G174&lt;=0,0,MIN($K$5,(G174+Q175)))</f>
      </c>
      <c r="AB175" s="4">
        <f>IF(H174&lt;=0,0,MIN($K$6,(H174+R175)))</f>
      </c>
      <c r="AC175" s="4">
        <f>IF(I174&lt;=0,0,MIN($K$7,(I174+S175)))</f>
      </c>
      <c r="AD175" s="4">
        <f>IF(J174&lt;=0,0,MIN($K$8,(J174+T175)))</f>
      </c>
      <c r="AE175" s="4">
        <f>IF(K174&lt;=0,0,MIN($K$9,(K174+U175)))</f>
      </c>
      <c r="AF175" s="4">
        <f>IF(L174&lt;=0,0,MIN($K$10,(L174+V175)))</f>
      </c>
      <c r="AG175" s="4">
        <f>IF(M174&lt;=0,0,MIN($K$11,(M174+W175)))</f>
      </c>
      <c r="AH175" s="4">
        <f>IF(N174&lt;=0,0,MIN($K$12,(N174+X175)))</f>
      </c>
      <c r="AI175" s="4">
        <f>IF(O174&lt;=0,0,MIN($K$13,(O174+Y175)))</f>
      </c>
      <c r="AJ175" s="4">
        <f>IF(P174&lt;=0,0,MIN($K$14,(P174+Z175)))</f>
      </c>
      <c r="AK175" s="4">
        <f>(G174+Q175)-AA175</f>
      </c>
      <c r="AL175" s="4">
        <f>(H174+R175)-AB175</f>
      </c>
      <c r="AM175" s="4">
        <f>(I174+S175)-AC175</f>
      </c>
      <c r="AN175" s="4">
        <f>(J174+T175)-AD175</f>
      </c>
      <c r="AO175" s="4">
        <f>(K174+U175)-AE175</f>
      </c>
      <c r="AP175" s="4">
        <f>(L174+V175)-AF175</f>
      </c>
      <c r="AQ175" s="4">
        <f>(M174+W175)-AG175</f>
      </c>
      <c r="AR175" s="4">
        <f>(N174+X175)-AH175</f>
      </c>
      <c r="AS175" s="4">
        <f>(O174+Y175)-AI175</f>
      </c>
      <c r="AT175" s="4">
        <f>(P174+Z175)-AJ175</f>
      </c>
      <c r="AU175" s="4">
        <f>$B$16+SUM($K$5:$K$14)-SUM(AA175:AJ175)</f>
      </c>
      <c r="AV175" s="4">
        <f>AU175-BE175</f>
      </c>
      <c r="AW175" s="4">
        <f>AV175-BF175</f>
      </c>
      <c r="AX175" s="4">
        <f>AW175-BG175</f>
      </c>
      <c r="AY175" s="4">
        <f>AX175-BH175</f>
      </c>
      <c r="AZ175" s="4">
        <f>AY175-BI175</f>
      </c>
      <c r="BA175" s="4">
        <f>AZ175-BJ175</f>
      </c>
      <c r="BB175" s="4">
        <f>BA175-BK175</f>
      </c>
      <c r="BC175" s="4">
        <f>BB175-BL175</f>
      </c>
      <c r="BD175" s="4">
        <f>BC175-BM175</f>
      </c>
      <c r="BE175" s="4">
        <f>IF(G174&lt;=0,0,MIN(AU175,AK175))</f>
      </c>
      <c r="BF175" s="4">
        <f>IF(H174&lt;=0,0,MIN(AV175,AL175))</f>
      </c>
      <c r="BG175" s="4">
        <f>IF(I174&lt;=0,0,MIN(AW175,AM175))</f>
      </c>
      <c r="BH175" s="4">
        <f>IF(J174&lt;=0,0,MIN(AX175,AN175))</f>
      </c>
      <c r="BI175" s="4">
        <f>IF(K174&lt;=0,0,MIN(AY175,AO175))</f>
      </c>
      <c r="BJ175" s="4">
        <f>IF(L174&lt;=0,0,MIN(AZ175,AP175))</f>
      </c>
      <c r="BK175" s="4">
        <f>IF(M174&lt;=0,0,MIN(BA175,AQ175))</f>
      </c>
      <c r="BL175" s="4">
        <f>IF(N174&lt;=0,0,MIN(BB175,AR175))</f>
      </c>
      <c r="BM175" s="4">
        <f>IF(O174&lt;=0,0,MIN(BC175,AS175))</f>
      </c>
      <c r="BN175" s="4">
        <f>IF(P174&lt;=0,0,MIN(BD175,AT175))</f>
      </c>
    </row>
    <row r="176" spans="1:66" x14ac:dyDescent="0.25">
      <c r="A176">
        <v>149</v>
      </c>
      <c r="B176" s="7">
        <f>EDATE($B$17,149)</f>
      </c>
      <c r="C176" s="4">
        <f>SUM(G176:P176)</f>
      </c>
      <c r="D176" s="4">
        <f>SUM(Q176:Z176)</f>
      </c>
      <c r="E176" s="4">
        <f>SUM(AA176:AJ176)+SUM(BE176:BN176)</f>
      </c>
      <c r="G176" s="4">
        <f>MAX(0,AK176-BE176)</f>
      </c>
      <c r="H176" s="4">
        <f>MAX(0,AL176-BF176)</f>
      </c>
      <c r="I176" s="4">
        <f>MAX(0,AM176-BG176)</f>
      </c>
      <c r="J176" s="4">
        <f>MAX(0,AN176-BH176)</f>
      </c>
      <c r="K176" s="4">
        <f>MAX(0,AO176-BI176)</f>
      </c>
      <c r="L176" s="4">
        <f>MAX(0,AP176-BJ176)</f>
      </c>
      <c r="M176" s="4">
        <f>MAX(0,AQ176-BK176)</f>
      </c>
      <c r="N176" s="4">
        <f>MAX(0,AR176-BL176)</f>
      </c>
      <c r="O176" s="4">
        <f>MAX(0,AS176-BM176)</f>
      </c>
      <c r="P176" s="4">
        <f>MAX(0,AT176-BN176)</f>
      </c>
      <c r="Q176" s="4">
        <f>IF(G175&gt;0,G175*($J$5/100/12),0)</f>
      </c>
      <c r="R176" s="4">
        <f>IF(H175&gt;0,H175*($J$6/100/12),0)</f>
      </c>
      <c r="S176" s="4">
        <f>IF(I175&gt;0,I175*($J$7/100/12),0)</f>
      </c>
      <c r="T176" s="4">
        <f>IF(J175&gt;0,J175*($J$8/100/12),0)</f>
      </c>
      <c r="U176" s="4">
        <f>IF(K175&gt;0,K175*($J$9/100/12),0)</f>
      </c>
      <c r="V176" s="4">
        <f>IF(L175&gt;0,L175*($J$10/100/12),0)</f>
      </c>
      <c r="W176" s="4">
        <f>IF(M175&gt;0,M175*($J$11/100/12),0)</f>
      </c>
      <c r="X176" s="4">
        <f>IF(N175&gt;0,N175*($J$12/100/12),0)</f>
      </c>
      <c r="Y176" s="4">
        <f>IF(O175&gt;0,O175*($J$13/100/12),0)</f>
      </c>
      <c r="Z176" s="4">
        <f>IF(P175&gt;0,P175*($J$14/100/12),0)</f>
      </c>
      <c r="AA176" s="4">
        <f>IF(G175&lt;=0,0,MIN($K$5,(G175+Q176)))</f>
      </c>
      <c r="AB176" s="4">
        <f>IF(H175&lt;=0,0,MIN($K$6,(H175+R176)))</f>
      </c>
      <c r="AC176" s="4">
        <f>IF(I175&lt;=0,0,MIN($K$7,(I175+S176)))</f>
      </c>
      <c r="AD176" s="4">
        <f>IF(J175&lt;=0,0,MIN($K$8,(J175+T176)))</f>
      </c>
      <c r="AE176" s="4">
        <f>IF(K175&lt;=0,0,MIN($K$9,(K175+U176)))</f>
      </c>
      <c r="AF176" s="4">
        <f>IF(L175&lt;=0,0,MIN($K$10,(L175+V176)))</f>
      </c>
      <c r="AG176" s="4">
        <f>IF(M175&lt;=0,0,MIN($K$11,(M175+W176)))</f>
      </c>
      <c r="AH176" s="4">
        <f>IF(N175&lt;=0,0,MIN($K$12,(N175+X176)))</f>
      </c>
      <c r="AI176" s="4">
        <f>IF(O175&lt;=0,0,MIN($K$13,(O175+Y176)))</f>
      </c>
      <c r="AJ176" s="4">
        <f>IF(P175&lt;=0,0,MIN($K$14,(P175+Z176)))</f>
      </c>
      <c r="AK176" s="4">
        <f>(G175+Q176)-AA176</f>
      </c>
      <c r="AL176" s="4">
        <f>(H175+R176)-AB176</f>
      </c>
      <c r="AM176" s="4">
        <f>(I175+S176)-AC176</f>
      </c>
      <c r="AN176" s="4">
        <f>(J175+T176)-AD176</f>
      </c>
      <c r="AO176" s="4">
        <f>(K175+U176)-AE176</f>
      </c>
      <c r="AP176" s="4">
        <f>(L175+V176)-AF176</f>
      </c>
      <c r="AQ176" s="4">
        <f>(M175+W176)-AG176</f>
      </c>
      <c r="AR176" s="4">
        <f>(N175+X176)-AH176</f>
      </c>
      <c r="AS176" s="4">
        <f>(O175+Y176)-AI176</f>
      </c>
      <c r="AT176" s="4">
        <f>(P175+Z176)-AJ176</f>
      </c>
      <c r="AU176" s="4">
        <f>$B$16+SUM($K$5:$K$14)-SUM(AA176:AJ176)</f>
      </c>
      <c r="AV176" s="4">
        <f>AU176-BE176</f>
      </c>
      <c r="AW176" s="4">
        <f>AV176-BF176</f>
      </c>
      <c r="AX176" s="4">
        <f>AW176-BG176</f>
      </c>
      <c r="AY176" s="4">
        <f>AX176-BH176</f>
      </c>
      <c r="AZ176" s="4">
        <f>AY176-BI176</f>
      </c>
      <c r="BA176" s="4">
        <f>AZ176-BJ176</f>
      </c>
      <c r="BB176" s="4">
        <f>BA176-BK176</f>
      </c>
      <c r="BC176" s="4">
        <f>BB176-BL176</f>
      </c>
      <c r="BD176" s="4">
        <f>BC176-BM176</f>
      </c>
      <c r="BE176" s="4">
        <f>IF(G175&lt;=0,0,MIN(AU176,AK176))</f>
      </c>
      <c r="BF176" s="4">
        <f>IF(H175&lt;=0,0,MIN(AV176,AL176))</f>
      </c>
      <c r="BG176" s="4">
        <f>IF(I175&lt;=0,0,MIN(AW176,AM176))</f>
      </c>
      <c r="BH176" s="4">
        <f>IF(J175&lt;=0,0,MIN(AX176,AN176))</f>
      </c>
      <c r="BI176" s="4">
        <f>IF(K175&lt;=0,0,MIN(AY176,AO176))</f>
      </c>
      <c r="BJ176" s="4">
        <f>IF(L175&lt;=0,0,MIN(AZ176,AP176))</f>
      </c>
      <c r="BK176" s="4">
        <f>IF(M175&lt;=0,0,MIN(BA176,AQ176))</f>
      </c>
      <c r="BL176" s="4">
        <f>IF(N175&lt;=0,0,MIN(BB176,AR176))</f>
      </c>
      <c r="BM176" s="4">
        <f>IF(O175&lt;=0,0,MIN(BC176,AS176))</f>
      </c>
      <c r="BN176" s="4">
        <f>IF(P175&lt;=0,0,MIN(BD176,AT176))</f>
      </c>
    </row>
    <row r="177" spans="1:66" x14ac:dyDescent="0.25">
      <c r="A177">
        <v>150</v>
      </c>
      <c r="B177" s="7">
        <f>EDATE($B$17,150)</f>
      </c>
      <c r="C177" s="4">
        <f>SUM(G177:P177)</f>
      </c>
      <c r="D177" s="4">
        <f>SUM(Q177:Z177)</f>
      </c>
      <c r="E177" s="4">
        <f>SUM(AA177:AJ177)+SUM(BE177:BN177)</f>
      </c>
      <c r="G177" s="4">
        <f>MAX(0,AK177-BE177)</f>
      </c>
      <c r="H177" s="4">
        <f>MAX(0,AL177-BF177)</f>
      </c>
      <c r="I177" s="4">
        <f>MAX(0,AM177-BG177)</f>
      </c>
      <c r="J177" s="4">
        <f>MAX(0,AN177-BH177)</f>
      </c>
      <c r="K177" s="4">
        <f>MAX(0,AO177-BI177)</f>
      </c>
      <c r="L177" s="4">
        <f>MAX(0,AP177-BJ177)</f>
      </c>
      <c r="M177" s="4">
        <f>MAX(0,AQ177-BK177)</f>
      </c>
      <c r="N177" s="4">
        <f>MAX(0,AR177-BL177)</f>
      </c>
      <c r="O177" s="4">
        <f>MAX(0,AS177-BM177)</f>
      </c>
      <c r="P177" s="4">
        <f>MAX(0,AT177-BN177)</f>
      </c>
      <c r="Q177" s="4">
        <f>IF(G176&gt;0,G176*($J$5/100/12),0)</f>
      </c>
      <c r="R177" s="4">
        <f>IF(H176&gt;0,H176*($J$6/100/12),0)</f>
      </c>
      <c r="S177" s="4">
        <f>IF(I176&gt;0,I176*($J$7/100/12),0)</f>
      </c>
      <c r="T177" s="4">
        <f>IF(J176&gt;0,J176*($J$8/100/12),0)</f>
      </c>
      <c r="U177" s="4">
        <f>IF(K176&gt;0,K176*($J$9/100/12),0)</f>
      </c>
      <c r="V177" s="4">
        <f>IF(L176&gt;0,L176*($J$10/100/12),0)</f>
      </c>
      <c r="W177" s="4">
        <f>IF(M176&gt;0,M176*($J$11/100/12),0)</f>
      </c>
      <c r="X177" s="4">
        <f>IF(N176&gt;0,N176*($J$12/100/12),0)</f>
      </c>
      <c r="Y177" s="4">
        <f>IF(O176&gt;0,O176*($J$13/100/12),0)</f>
      </c>
      <c r="Z177" s="4">
        <f>IF(P176&gt;0,P176*($J$14/100/12),0)</f>
      </c>
      <c r="AA177" s="4">
        <f>IF(G176&lt;=0,0,MIN($K$5,(G176+Q177)))</f>
      </c>
      <c r="AB177" s="4">
        <f>IF(H176&lt;=0,0,MIN($K$6,(H176+R177)))</f>
      </c>
      <c r="AC177" s="4">
        <f>IF(I176&lt;=0,0,MIN($K$7,(I176+S177)))</f>
      </c>
      <c r="AD177" s="4">
        <f>IF(J176&lt;=0,0,MIN($K$8,(J176+T177)))</f>
      </c>
      <c r="AE177" s="4">
        <f>IF(K176&lt;=0,0,MIN($K$9,(K176+U177)))</f>
      </c>
      <c r="AF177" s="4">
        <f>IF(L176&lt;=0,0,MIN($K$10,(L176+V177)))</f>
      </c>
      <c r="AG177" s="4">
        <f>IF(M176&lt;=0,0,MIN($K$11,(M176+W177)))</f>
      </c>
      <c r="AH177" s="4">
        <f>IF(N176&lt;=0,0,MIN($K$12,(N176+X177)))</f>
      </c>
      <c r="AI177" s="4">
        <f>IF(O176&lt;=0,0,MIN($K$13,(O176+Y177)))</f>
      </c>
      <c r="AJ177" s="4">
        <f>IF(P176&lt;=0,0,MIN($K$14,(P176+Z177)))</f>
      </c>
      <c r="AK177" s="4">
        <f>(G176+Q177)-AA177</f>
      </c>
      <c r="AL177" s="4">
        <f>(H176+R177)-AB177</f>
      </c>
      <c r="AM177" s="4">
        <f>(I176+S177)-AC177</f>
      </c>
      <c r="AN177" s="4">
        <f>(J176+T177)-AD177</f>
      </c>
      <c r="AO177" s="4">
        <f>(K176+U177)-AE177</f>
      </c>
      <c r="AP177" s="4">
        <f>(L176+V177)-AF177</f>
      </c>
      <c r="AQ177" s="4">
        <f>(M176+W177)-AG177</f>
      </c>
      <c r="AR177" s="4">
        <f>(N176+X177)-AH177</f>
      </c>
      <c r="AS177" s="4">
        <f>(O176+Y177)-AI177</f>
      </c>
      <c r="AT177" s="4">
        <f>(P176+Z177)-AJ177</f>
      </c>
      <c r="AU177" s="4">
        <f>$B$16+SUM($K$5:$K$14)-SUM(AA177:AJ177)</f>
      </c>
      <c r="AV177" s="4">
        <f>AU177-BE177</f>
      </c>
      <c r="AW177" s="4">
        <f>AV177-BF177</f>
      </c>
      <c r="AX177" s="4">
        <f>AW177-BG177</f>
      </c>
      <c r="AY177" s="4">
        <f>AX177-BH177</f>
      </c>
      <c r="AZ177" s="4">
        <f>AY177-BI177</f>
      </c>
      <c r="BA177" s="4">
        <f>AZ177-BJ177</f>
      </c>
      <c r="BB177" s="4">
        <f>BA177-BK177</f>
      </c>
      <c r="BC177" s="4">
        <f>BB177-BL177</f>
      </c>
      <c r="BD177" s="4">
        <f>BC177-BM177</f>
      </c>
      <c r="BE177" s="4">
        <f>IF(G176&lt;=0,0,MIN(AU177,AK177))</f>
      </c>
      <c r="BF177" s="4">
        <f>IF(H176&lt;=0,0,MIN(AV177,AL177))</f>
      </c>
      <c r="BG177" s="4">
        <f>IF(I176&lt;=0,0,MIN(AW177,AM177))</f>
      </c>
      <c r="BH177" s="4">
        <f>IF(J176&lt;=0,0,MIN(AX177,AN177))</f>
      </c>
      <c r="BI177" s="4">
        <f>IF(K176&lt;=0,0,MIN(AY177,AO177))</f>
      </c>
      <c r="BJ177" s="4">
        <f>IF(L176&lt;=0,0,MIN(AZ177,AP177))</f>
      </c>
      <c r="BK177" s="4">
        <f>IF(M176&lt;=0,0,MIN(BA177,AQ177))</f>
      </c>
      <c r="BL177" s="4">
        <f>IF(N176&lt;=0,0,MIN(BB177,AR177))</f>
      </c>
      <c r="BM177" s="4">
        <f>IF(O176&lt;=0,0,MIN(BC177,AS177))</f>
      </c>
      <c r="BN177" s="4">
        <f>IF(P176&lt;=0,0,MIN(BD177,AT177))</f>
      </c>
    </row>
    <row r="178" spans="1:66" x14ac:dyDescent="0.25">
      <c r="A178">
        <v>151</v>
      </c>
      <c r="B178" s="7">
        <f>EDATE($B$17,151)</f>
      </c>
      <c r="C178" s="4">
        <f>SUM(G178:P178)</f>
      </c>
      <c r="D178" s="4">
        <f>SUM(Q178:Z178)</f>
      </c>
      <c r="E178" s="4">
        <f>SUM(AA178:AJ178)+SUM(BE178:BN178)</f>
      </c>
      <c r="G178" s="4">
        <f>MAX(0,AK178-BE178)</f>
      </c>
      <c r="H178" s="4">
        <f>MAX(0,AL178-BF178)</f>
      </c>
      <c r="I178" s="4">
        <f>MAX(0,AM178-BG178)</f>
      </c>
      <c r="J178" s="4">
        <f>MAX(0,AN178-BH178)</f>
      </c>
      <c r="K178" s="4">
        <f>MAX(0,AO178-BI178)</f>
      </c>
      <c r="L178" s="4">
        <f>MAX(0,AP178-BJ178)</f>
      </c>
      <c r="M178" s="4">
        <f>MAX(0,AQ178-BK178)</f>
      </c>
      <c r="N178" s="4">
        <f>MAX(0,AR178-BL178)</f>
      </c>
      <c r="O178" s="4">
        <f>MAX(0,AS178-BM178)</f>
      </c>
      <c r="P178" s="4">
        <f>MAX(0,AT178-BN178)</f>
      </c>
      <c r="Q178" s="4">
        <f>IF(G177&gt;0,G177*($J$5/100/12),0)</f>
      </c>
      <c r="R178" s="4">
        <f>IF(H177&gt;0,H177*($J$6/100/12),0)</f>
      </c>
      <c r="S178" s="4">
        <f>IF(I177&gt;0,I177*($J$7/100/12),0)</f>
      </c>
      <c r="T178" s="4">
        <f>IF(J177&gt;0,J177*($J$8/100/12),0)</f>
      </c>
      <c r="U178" s="4">
        <f>IF(K177&gt;0,K177*($J$9/100/12),0)</f>
      </c>
      <c r="V178" s="4">
        <f>IF(L177&gt;0,L177*($J$10/100/12),0)</f>
      </c>
      <c r="W178" s="4">
        <f>IF(M177&gt;0,M177*($J$11/100/12),0)</f>
      </c>
      <c r="X178" s="4">
        <f>IF(N177&gt;0,N177*($J$12/100/12),0)</f>
      </c>
      <c r="Y178" s="4">
        <f>IF(O177&gt;0,O177*($J$13/100/12),0)</f>
      </c>
      <c r="Z178" s="4">
        <f>IF(P177&gt;0,P177*($J$14/100/12),0)</f>
      </c>
      <c r="AA178" s="4">
        <f>IF(G177&lt;=0,0,MIN($K$5,(G177+Q178)))</f>
      </c>
      <c r="AB178" s="4">
        <f>IF(H177&lt;=0,0,MIN($K$6,(H177+R178)))</f>
      </c>
      <c r="AC178" s="4">
        <f>IF(I177&lt;=0,0,MIN($K$7,(I177+S178)))</f>
      </c>
      <c r="AD178" s="4">
        <f>IF(J177&lt;=0,0,MIN($K$8,(J177+T178)))</f>
      </c>
      <c r="AE178" s="4">
        <f>IF(K177&lt;=0,0,MIN($K$9,(K177+U178)))</f>
      </c>
      <c r="AF178" s="4">
        <f>IF(L177&lt;=0,0,MIN($K$10,(L177+V178)))</f>
      </c>
      <c r="AG178" s="4">
        <f>IF(M177&lt;=0,0,MIN($K$11,(M177+W178)))</f>
      </c>
      <c r="AH178" s="4">
        <f>IF(N177&lt;=0,0,MIN($K$12,(N177+X178)))</f>
      </c>
      <c r="AI178" s="4">
        <f>IF(O177&lt;=0,0,MIN($K$13,(O177+Y178)))</f>
      </c>
      <c r="AJ178" s="4">
        <f>IF(P177&lt;=0,0,MIN($K$14,(P177+Z178)))</f>
      </c>
      <c r="AK178" s="4">
        <f>(G177+Q178)-AA178</f>
      </c>
      <c r="AL178" s="4">
        <f>(H177+R178)-AB178</f>
      </c>
      <c r="AM178" s="4">
        <f>(I177+S178)-AC178</f>
      </c>
      <c r="AN178" s="4">
        <f>(J177+T178)-AD178</f>
      </c>
      <c r="AO178" s="4">
        <f>(K177+U178)-AE178</f>
      </c>
      <c r="AP178" s="4">
        <f>(L177+V178)-AF178</f>
      </c>
      <c r="AQ178" s="4">
        <f>(M177+W178)-AG178</f>
      </c>
      <c r="AR178" s="4">
        <f>(N177+X178)-AH178</f>
      </c>
      <c r="AS178" s="4">
        <f>(O177+Y178)-AI178</f>
      </c>
      <c r="AT178" s="4">
        <f>(P177+Z178)-AJ178</f>
      </c>
      <c r="AU178" s="4">
        <f>$B$16+SUM($K$5:$K$14)-SUM(AA178:AJ178)</f>
      </c>
      <c r="AV178" s="4">
        <f>AU178-BE178</f>
      </c>
      <c r="AW178" s="4">
        <f>AV178-BF178</f>
      </c>
      <c r="AX178" s="4">
        <f>AW178-BG178</f>
      </c>
      <c r="AY178" s="4">
        <f>AX178-BH178</f>
      </c>
      <c r="AZ178" s="4">
        <f>AY178-BI178</f>
      </c>
      <c r="BA178" s="4">
        <f>AZ178-BJ178</f>
      </c>
      <c r="BB178" s="4">
        <f>BA178-BK178</f>
      </c>
      <c r="BC178" s="4">
        <f>BB178-BL178</f>
      </c>
      <c r="BD178" s="4">
        <f>BC178-BM178</f>
      </c>
      <c r="BE178" s="4">
        <f>IF(G177&lt;=0,0,MIN(AU178,AK178))</f>
      </c>
      <c r="BF178" s="4">
        <f>IF(H177&lt;=0,0,MIN(AV178,AL178))</f>
      </c>
      <c r="BG178" s="4">
        <f>IF(I177&lt;=0,0,MIN(AW178,AM178))</f>
      </c>
      <c r="BH178" s="4">
        <f>IF(J177&lt;=0,0,MIN(AX178,AN178))</f>
      </c>
      <c r="BI178" s="4">
        <f>IF(K177&lt;=0,0,MIN(AY178,AO178))</f>
      </c>
      <c r="BJ178" s="4">
        <f>IF(L177&lt;=0,0,MIN(AZ178,AP178))</f>
      </c>
      <c r="BK178" s="4">
        <f>IF(M177&lt;=0,0,MIN(BA178,AQ178))</f>
      </c>
      <c r="BL178" s="4">
        <f>IF(N177&lt;=0,0,MIN(BB178,AR178))</f>
      </c>
      <c r="BM178" s="4">
        <f>IF(O177&lt;=0,0,MIN(BC178,AS178))</f>
      </c>
      <c r="BN178" s="4">
        <f>IF(P177&lt;=0,0,MIN(BD178,AT178))</f>
      </c>
    </row>
    <row r="179" spans="1:66" x14ac:dyDescent="0.25">
      <c r="A179">
        <v>152</v>
      </c>
      <c r="B179" s="7">
        <f>EDATE($B$17,152)</f>
      </c>
      <c r="C179" s="4">
        <f>SUM(G179:P179)</f>
      </c>
      <c r="D179" s="4">
        <f>SUM(Q179:Z179)</f>
      </c>
      <c r="E179" s="4">
        <f>SUM(AA179:AJ179)+SUM(BE179:BN179)</f>
      </c>
      <c r="G179" s="4">
        <f>MAX(0,AK179-BE179)</f>
      </c>
      <c r="H179" s="4">
        <f>MAX(0,AL179-BF179)</f>
      </c>
      <c r="I179" s="4">
        <f>MAX(0,AM179-BG179)</f>
      </c>
      <c r="J179" s="4">
        <f>MAX(0,AN179-BH179)</f>
      </c>
      <c r="K179" s="4">
        <f>MAX(0,AO179-BI179)</f>
      </c>
      <c r="L179" s="4">
        <f>MAX(0,AP179-BJ179)</f>
      </c>
      <c r="M179" s="4">
        <f>MAX(0,AQ179-BK179)</f>
      </c>
      <c r="N179" s="4">
        <f>MAX(0,AR179-BL179)</f>
      </c>
      <c r="O179" s="4">
        <f>MAX(0,AS179-BM179)</f>
      </c>
      <c r="P179" s="4">
        <f>MAX(0,AT179-BN179)</f>
      </c>
      <c r="Q179" s="4">
        <f>IF(G178&gt;0,G178*($J$5/100/12),0)</f>
      </c>
      <c r="R179" s="4">
        <f>IF(H178&gt;0,H178*($J$6/100/12),0)</f>
      </c>
      <c r="S179" s="4">
        <f>IF(I178&gt;0,I178*($J$7/100/12),0)</f>
      </c>
      <c r="T179" s="4">
        <f>IF(J178&gt;0,J178*($J$8/100/12),0)</f>
      </c>
      <c r="U179" s="4">
        <f>IF(K178&gt;0,K178*($J$9/100/12),0)</f>
      </c>
      <c r="V179" s="4">
        <f>IF(L178&gt;0,L178*($J$10/100/12),0)</f>
      </c>
      <c r="W179" s="4">
        <f>IF(M178&gt;0,M178*($J$11/100/12),0)</f>
      </c>
      <c r="X179" s="4">
        <f>IF(N178&gt;0,N178*($J$12/100/12),0)</f>
      </c>
      <c r="Y179" s="4">
        <f>IF(O178&gt;0,O178*($J$13/100/12),0)</f>
      </c>
      <c r="Z179" s="4">
        <f>IF(P178&gt;0,P178*($J$14/100/12),0)</f>
      </c>
      <c r="AA179" s="4">
        <f>IF(G178&lt;=0,0,MIN($K$5,(G178+Q179)))</f>
      </c>
      <c r="AB179" s="4">
        <f>IF(H178&lt;=0,0,MIN($K$6,(H178+R179)))</f>
      </c>
      <c r="AC179" s="4">
        <f>IF(I178&lt;=0,0,MIN($K$7,(I178+S179)))</f>
      </c>
      <c r="AD179" s="4">
        <f>IF(J178&lt;=0,0,MIN($K$8,(J178+T179)))</f>
      </c>
      <c r="AE179" s="4">
        <f>IF(K178&lt;=0,0,MIN($K$9,(K178+U179)))</f>
      </c>
      <c r="AF179" s="4">
        <f>IF(L178&lt;=0,0,MIN($K$10,(L178+V179)))</f>
      </c>
      <c r="AG179" s="4">
        <f>IF(M178&lt;=0,0,MIN($K$11,(M178+W179)))</f>
      </c>
      <c r="AH179" s="4">
        <f>IF(N178&lt;=0,0,MIN($K$12,(N178+X179)))</f>
      </c>
      <c r="AI179" s="4">
        <f>IF(O178&lt;=0,0,MIN($K$13,(O178+Y179)))</f>
      </c>
      <c r="AJ179" s="4">
        <f>IF(P178&lt;=0,0,MIN($K$14,(P178+Z179)))</f>
      </c>
      <c r="AK179" s="4">
        <f>(G178+Q179)-AA179</f>
      </c>
      <c r="AL179" s="4">
        <f>(H178+R179)-AB179</f>
      </c>
      <c r="AM179" s="4">
        <f>(I178+S179)-AC179</f>
      </c>
      <c r="AN179" s="4">
        <f>(J178+T179)-AD179</f>
      </c>
      <c r="AO179" s="4">
        <f>(K178+U179)-AE179</f>
      </c>
      <c r="AP179" s="4">
        <f>(L178+V179)-AF179</f>
      </c>
      <c r="AQ179" s="4">
        <f>(M178+W179)-AG179</f>
      </c>
      <c r="AR179" s="4">
        <f>(N178+X179)-AH179</f>
      </c>
      <c r="AS179" s="4">
        <f>(O178+Y179)-AI179</f>
      </c>
      <c r="AT179" s="4">
        <f>(P178+Z179)-AJ179</f>
      </c>
      <c r="AU179" s="4">
        <f>$B$16+SUM($K$5:$K$14)-SUM(AA179:AJ179)</f>
      </c>
      <c r="AV179" s="4">
        <f>AU179-BE179</f>
      </c>
      <c r="AW179" s="4">
        <f>AV179-BF179</f>
      </c>
      <c r="AX179" s="4">
        <f>AW179-BG179</f>
      </c>
      <c r="AY179" s="4">
        <f>AX179-BH179</f>
      </c>
      <c r="AZ179" s="4">
        <f>AY179-BI179</f>
      </c>
      <c r="BA179" s="4">
        <f>AZ179-BJ179</f>
      </c>
      <c r="BB179" s="4">
        <f>BA179-BK179</f>
      </c>
      <c r="BC179" s="4">
        <f>BB179-BL179</f>
      </c>
      <c r="BD179" s="4">
        <f>BC179-BM179</f>
      </c>
      <c r="BE179" s="4">
        <f>IF(G178&lt;=0,0,MIN(AU179,AK179))</f>
      </c>
      <c r="BF179" s="4">
        <f>IF(H178&lt;=0,0,MIN(AV179,AL179))</f>
      </c>
      <c r="BG179" s="4">
        <f>IF(I178&lt;=0,0,MIN(AW179,AM179))</f>
      </c>
      <c r="BH179" s="4">
        <f>IF(J178&lt;=0,0,MIN(AX179,AN179))</f>
      </c>
      <c r="BI179" s="4">
        <f>IF(K178&lt;=0,0,MIN(AY179,AO179))</f>
      </c>
      <c r="BJ179" s="4">
        <f>IF(L178&lt;=0,0,MIN(AZ179,AP179))</f>
      </c>
      <c r="BK179" s="4">
        <f>IF(M178&lt;=0,0,MIN(BA179,AQ179))</f>
      </c>
      <c r="BL179" s="4">
        <f>IF(N178&lt;=0,0,MIN(BB179,AR179))</f>
      </c>
      <c r="BM179" s="4">
        <f>IF(O178&lt;=0,0,MIN(BC179,AS179))</f>
      </c>
      <c r="BN179" s="4">
        <f>IF(P178&lt;=0,0,MIN(BD179,AT179))</f>
      </c>
    </row>
    <row r="180" spans="1:66" x14ac:dyDescent="0.25">
      <c r="A180">
        <v>153</v>
      </c>
      <c r="B180" s="7">
        <f>EDATE($B$17,153)</f>
      </c>
      <c r="C180" s="4">
        <f>SUM(G180:P180)</f>
      </c>
      <c r="D180" s="4">
        <f>SUM(Q180:Z180)</f>
      </c>
      <c r="E180" s="4">
        <f>SUM(AA180:AJ180)+SUM(BE180:BN180)</f>
      </c>
      <c r="G180" s="4">
        <f>MAX(0,AK180-BE180)</f>
      </c>
      <c r="H180" s="4">
        <f>MAX(0,AL180-BF180)</f>
      </c>
      <c r="I180" s="4">
        <f>MAX(0,AM180-BG180)</f>
      </c>
      <c r="J180" s="4">
        <f>MAX(0,AN180-BH180)</f>
      </c>
      <c r="K180" s="4">
        <f>MAX(0,AO180-BI180)</f>
      </c>
      <c r="L180" s="4">
        <f>MAX(0,AP180-BJ180)</f>
      </c>
      <c r="M180" s="4">
        <f>MAX(0,AQ180-BK180)</f>
      </c>
      <c r="N180" s="4">
        <f>MAX(0,AR180-BL180)</f>
      </c>
      <c r="O180" s="4">
        <f>MAX(0,AS180-BM180)</f>
      </c>
      <c r="P180" s="4">
        <f>MAX(0,AT180-BN180)</f>
      </c>
      <c r="Q180" s="4">
        <f>IF(G179&gt;0,G179*($J$5/100/12),0)</f>
      </c>
      <c r="R180" s="4">
        <f>IF(H179&gt;0,H179*($J$6/100/12),0)</f>
      </c>
      <c r="S180" s="4">
        <f>IF(I179&gt;0,I179*($J$7/100/12),0)</f>
      </c>
      <c r="T180" s="4">
        <f>IF(J179&gt;0,J179*($J$8/100/12),0)</f>
      </c>
      <c r="U180" s="4">
        <f>IF(K179&gt;0,K179*($J$9/100/12),0)</f>
      </c>
      <c r="V180" s="4">
        <f>IF(L179&gt;0,L179*($J$10/100/12),0)</f>
      </c>
      <c r="W180" s="4">
        <f>IF(M179&gt;0,M179*($J$11/100/12),0)</f>
      </c>
      <c r="X180" s="4">
        <f>IF(N179&gt;0,N179*($J$12/100/12),0)</f>
      </c>
      <c r="Y180" s="4">
        <f>IF(O179&gt;0,O179*($J$13/100/12),0)</f>
      </c>
      <c r="Z180" s="4">
        <f>IF(P179&gt;0,P179*($J$14/100/12),0)</f>
      </c>
      <c r="AA180" s="4">
        <f>IF(G179&lt;=0,0,MIN($K$5,(G179+Q180)))</f>
      </c>
      <c r="AB180" s="4">
        <f>IF(H179&lt;=0,0,MIN($K$6,(H179+R180)))</f>
      </c>
      <c r="AC180" s="4">
        <f>IF(I179&lt;=0,0,MIN($K$7,(I179+S180)))</f>
      </c>
      <c r="AD180" s="4">
        <f>IF(J179&lt;=0,0,MIN($K$8,(J179+T180)))</f>
      </c>
      <c r="AE180" s="4">
        <f>IF(K179&lt;=0,0,MIN($K$9,(K179+U180)))</f>
      </c>
      <c r="AF180" s="4">
        <f>IF(L179&lt;=0,0,MIN($K$10,(L179+V180)))</f>
      </c>
      <c r="AG180" s="4">
        <f>IF(M179&lt;=0,0,MIN($K$11,(M179+W180)))</f>
      </c>
      <c r="AH180" s="4">
        <f>IF(N179&lt;=0,0,MIN($K$12,(N179+X180)))</f>
      </c>
      <c r="AI180" s="4">
        <f>IF(O179&lt;=0,0,MIN($K$13,(O179+Y180)))</f>
      </c>
      <c r="AJ180" s="4">
        <f>IF(P179&lt;=0,0,MIN($K$14,(P179+Z180)))</f>
      </c>
      <c r="AK180" s="4">
        <f>(G179+Q180)-AA180</f>
      </c>
      <c r="AL180" s="4">
        <f>(H179+R180)-AB180</f>
      </c>
      <c r="AM180" s="4">
        <f>(I179+S180)-AC180</f>
      </c>
      <c r="AN180" s="4">
        <f>(J179+T180)-AD180</f>
      </c>
      <c r="AO180" s="4">
        <f>(K179+U180)-AE180</f>
      </c>
      <c r="AP180" s="4">
        <f>(L179+V180)-AF180</f>
      </c>
      <c r="AQ180" s="4">
        <f>(M179+W180)-AG180</f>
      </c>
      <c r="AR180" s="4">
        <f>(N179+X180)-AH180</f>
      </c>
      <c r="AS180" s="4">
        <f>(O179+Y180)-AI180</f>
      </c>
      <c r="AT180" s="4">
        <f>(P179+Z180)-AJ180</f>
      </c>
      <c r="AU180" s="4">
        <f>$B$16+SUM($K$5:$K$14)-SUM(AA180:AJ180)</f>
      </c>
      <c r="AV180" s="4">
        <f>AU180-BE180</f>
      </c>
      <c r="AW180" s="4">
        <f>AV180-BF180</f>
      </c>
      <c r="AX180" s="4">
        <f>AW180-BG180</f>
      </c>
      <c r="AY180" s="4">
        <f>AX180-BH180</f>
      </c>
      <c r="AZ180" s="4">
        <f>AY180-BI180</f>
      </c>
      <c r="BA180" s="4">
        <f>AZ180-BJ180</f>
      </c>
      <c r="BB180" s="4">
        <f>BA180-BK180</f>
      </c>
      <c r="BC180" s="4">
        <f>BB180-BL180</f>
      </c>
      <c r="BD180" s="4">
        <f>BC180-BM180</f>
      </c>
      <c r="BE180" s="4">
        <f>IF(G179&lt;=0,0,MIN(AU180,AK180))</f>
      </c>
      <c r="BF180" s="4">
        <f>IF(H179&lt;=0,0,MIN(AV180,AL180))</f>
      </c>
      <c r="BG180" s="4">
        <f>IF(I179&lt;=0,0,MIN(AW180,AM180))</f>
      </c>
      <c r="BH180" s="4">
        <f>IF(J179&lt;=0,0,MIN(AX180,AN180))</f>
      </c>
      <c r="BI180" s="4">
        <f>IF(K179&lt;=0,0,MIN(AY180,AO180))</f>
      </c>
      <c r="BJ180" s="4">
        <f>IF(L179&lt;=0,0,MIN(AZ180,AP180))</f>
      </c>
      <c r="BK180" s="4">
        <f>IF(M179&lt;=0,0,MIN(BA180,AQ180))</f>
      </c>
      <c r="BL180" s="4">
        <f>IF(N179&lt;=0,0,MIN(BB180,AR180))</f>
      </c>
      <c r="BM180" s="4">
        <f>IF(O179&lt;=0,0,MIN(BC180,AS180))</f>
      </c>
      <c r="BN180" s="4">
        <f>IF(P179&lt;=0,0,MIN(BD180,AT180))</f>
      </c>
    </row>
    <row r="181" spans="1:66" x14ac:dyDescent="0.25">
      <c r="A181">
        <v>154</v>
      </c>
      <c r="B181" s="7">
        <f>EDATE($B$17,154)</f>
      </c>
      <c r="C181" s="4">
        <f>SUM(G181:P181)</f>
      </c>
      <c r="D181" s="4">
        <f>SUM(Q181:Z181)</f>
      </c>
      <c r="E181" s="4">
        <f>SUM(AA181:AJ181)+SUM(BE181:BN181)</f>
      </c>
      <c r="G181" s="4">
        <f>MAX(0,AK181-BE181)</f>
      </c>
      <c r="H181" s="4">
        <f>MAX(0,AL181-BF181)</f>
      </c>
      <c r="I181" s="4">
        <f>MAX(0,AM181-BG181)</f>
      </c>
      <c r="J181" s="4">
        <f>MAX(0,AN181-BH181)</f>
      </c>
      <c r="K181" s="4">
        <f>MAX(0,AO181-BI181)</f>
      </c>
      <c r="L181" s="4">
        <f>MAX(0,AP181-BJ181)</f>
      </c>
      <c r="M181" s="4">
        <f>MAX(0,AQ181-BK181)</f>
      </c>
      <c r="N181" s="4">
        <f>MAX(0,AR181-BL181)</f>
      </c>
      <c r="O181" s="4">
        <f>MAX(0,AS181-BM181)</f>
      </c>
      <c r="P181" s="4">
        <f>MAX(0,AT181-BN181)</f>
      </c>
      <c r="Q181" s="4">
        <f>IF(G180&gt;0,G180*($J$5/100/12),0)</f>
      </c>
      <c r="R181" s="4">
        <f>IF(H180&gt;0,H180*($J$6/100/12),0)</f>
      </c>
      <c r="S181" s="4">
        <f>IF(I180&gt;0,I180*($J$7/100/12),0)</f>
      </c>
      <c r="T181" s="4">
        <f>IF(J180&gt;0,J180*($J$8/100/12),0)</f>
      </c>
      <c r="U181" s="4">
        <f>IF(K180&gt;0,K180*($J$9/100/12),0)</f>
      </c>
      <c r="V181" s="4">
        <f>IF(L180&gt;0,L180*($J$10/100/12),0)</f>
      </c>
      <c r="W181" s="4">
        <f>IF(M180&gt;0,M180*($J$11/100/12),0)</f>
      </c>
      <c r="X181" s="4">
        <f>IF(N180&gt;0,N180*($J$12/100/12),0)</f>
      </c>
      <c r="Y181" s="4">
        <f>IF(O180&gt;0,O180*($J$13/100/12),0)</f>
      </c>
      <c r="Z181" s="4">
        <f>IF(P180&gt;0,P180*($J$14/100/12),0)</f>
      </c>
      <c r="AA181" s="4">
        <f>IF(G180&lt;=0,0,MIN($K$5,(G180+Q181)))</f>
      </c>
      <c r="AB181" s="4">
        <f>IF(H180&lt;=0,0,MIN($K$6,(H180+R181)))</f>
      </c>
      <c r="AC181" s="4">
        <f>IF(I180&lt;=0,0,MIN($K$7,(I180+S181)))</f>
      </c>
      <c r="AD181" s="4">
        <f>IF(J180&lt;=0,0,MIN($K$8,(J180+T181)))</f>
      </c>
      <c r="AE181" s="4">
        <f>IF(K180&lt;=0,0,MIN($K$9,(K180+U181)))</f>
      </c>
      <c r="AF181" s="4">
        <f>IF(L180&lt;=0,0,MIN($K$10,(L180+V181)))</f>
      </c>
      <c r="AG181" s="4">
        <f>IF(M180&lt;=0,0,MIN($K$11,(M180+W181)))</f>
      </c>
      <c r="AH181" s="4">
        <f>IF(N180&lt;=0,0,MIN($K$12,(N180+X181)))</f>
      </c>
      <c r="AI181" s="4">
        <f>IF(O180&lt;=0,0,MIN($K$13,(O180+Y181)))</f>
      </c>
      <c r="AJ181" s="4">
        <f>IF(P180&lt;=0,0,MIN($K$14,(P180+Z181)))</f>
      </c>
      <c r="AK181" s="4">
        <f>(G180+Q181)-AA181</f>
      </c>
      <c r="AL181" s="4">
        <f>(H180+R181)-AB181</f>
      </c>
      <c r="AM181" s="4">
        <f>(I180+S181)-AC181</f>
      </c>
      <c r="AN181" s="4">
        <f>(J180+T181)-AD181</f>
      </c>
      <c r="AO181" s="4">
        <f>(K180+U181)-AE181</f>
      </c>
      <c r="AP181" s="4">
        <f>(L180+V181)-AF181</f>
      </c>
      <c r="AQ181" s="4">
        <f>(M180+W181)-AG181</f>
      </c>
      <c r="AR181" s="4">
        <f>(N180+X181)-AH181</f>
      </c>
      <c r="AS181" s="4">
        <f>(O180+Y181)-AI181</f>
      </c>
      <c r="AT181" s="4">
        <f>(P180+Z181)-AJ181</f>
      </c>
      <c r="AU181" s="4">
        <f>$B$16+SUM($K$5:$K$14)-SUM(AA181:AJ181)</f>
      </c>
      <c r="AV181" s="4">
        <f>AU181-BE181</f>
      </c>
      <c r="AW181" s="4">
        <f>AV181-BF181</f>
      </c>
      <c r="AX181" s="4">
        <f>AW181-BG181</f>
      </c>
      <c r="AY181" s="4">
        <f>AX181-BH181</f>
      </c>
      <c r="AZ181" s="4">
        <f>AY181-BI181</f>
      </c>
      <c r="BA181" s="4">
        <f>AZ181-BJ181</f>
      </c>
      <c r="BB181" s="4">
        <f>BA181-BK181</f>
      </c>
      <c r="BC181" s="4">
        <f>BB181-BL181</f>
      </c>
      <c r="BD181" s="4">
        <f>BC181-BM181</f>
      </c>
      <c r="BE181" s="4">
        <f>IF(G180&lt;=0,0,MIN(AU181,AK181))</f>
      </c>
      <c r="BF181" s="4">
        <f>IF(H180&lt;=0,0,MIN(AV181,AL181))</f>
      </c>
      <c r="BG181" s="4">
        <f>IF(I180&lt;=0,0,MIN(AW181,AM181))</f>
      </c>
      <c r="BH181" s="4">
        <f>IF(J180&lt;=0,0,MIN(AX181,AN181))</f>
      </c>
      <c r="BI181" s="4">
        <f>IF(K180&lt;=0,0,MIN(AY181,AO181))</f>
      </c>
      <c r="BJ181" s="4">
        <f>IF(L180&lt;=0,0,MIN(AZ181,AP181))</f>
      </c>
      <c r="BK181" s="4">
        <f>IF(M180&lt;=0,0,MIN(BA181,AQ181))</f>
      </c>
      <c r="BL181" s="4">
        <f>IF(N180&lt;=0,0,MIN(BB181,AR181))</f>
      </c>
      <c r="BM181" s="4">
        <f>IF(O180&lt;=0,0,MIN(BC181,AS181))</f>
      </c>
      <c r="BN181" s="4">
        <f>IF(P180&lt;=0,0,MIN(BD181,AT181))</f>
      </c>
    </row>
    <row r="182" spans="1:66" x14ac:dyDescent="0.25">
      <c r="A182">
        <v>155</v>
      </c>
      <c r="B182" s="7">
        <f>EDATE($B$17,155)</f>
      </c>
      <c r="C182" s="4">
        <f>SUM(G182:P182)</f>
      </c>
      <c r="D182" s="4">
        <f>SUM(Q182:Z182)</f>
      </c>
      <c r="E182" s="4">
        <f>SUM(AA182:AJ182)+SUM(BE182:BN182)</f>
      </c>
      <c r="G182" s="4">
        <f>MAX(0,AK182-BE182)</f>
      </c>
      <c r="H182" s="4">
        <f>MAX(0,AL182-BF182)</f>
      </c>
      <c r="I182" s="4">
        <f>MAX(0,AM182-BG182)</f>
      </c>
      <c r="J182" s="4">
        <f>MAX(0,AN182-BH182)</f>
      </c>
      <c r="K182" s="4">
        <f>MAX(0,AO182-BI182)</f>
      </c>
      <c r="L182" s="4">
        <f>MAX(0,AP182-BJ182)</f>
      </c>
      <c r="M182" s="4">
        <f>MAX(0,AQ182-BK182)</f>
      </c>
      <c r="N182" s="4">
        <f>MAX(0,AR182-BL182)</f>
      </c>
      <c r="O182" s="4">
        <f>MAX(0,AS182-BM182)</f>
      </c>
      <c r="P182" s="4">
        <f>MAX(0,AT182-BN182)</f>
      </c>
      <c r="Q182" s="4">
        <f>IF(G181&gt;0,G181*($J$5/100/12),0)</f>
      </c>
      <c r="R182" s="4">
        <f>IF(H181&gt;0,H181*($J$6/100/12),0)</f>
      </c>
      <c r="S182" s="4">
        <f>IF(I181&gt;0,I181*($J$7/100/12),0)</f>
      </c>
      <c r="T182" s="4">
        <f>IF(J181&gt;0,J181*($J$8/100/12),0)</f>
      </c>
      <c r="U182" s="4">
        <f>IF(K181&gt;0,K181*($J$9/100/12),0)</f>
      </c>
      <c r="V182" s="4">
        <f>IF(L181&gt;0,L181*($J$10/100/12),0)</f>
      </c>
      <c r="W182" s="4">
        <f>IF(M181&gt;0,M181*($J$11/100/12),0)</f>
      </c>
      <c r="X182" s="4">
        <f>IF(N181&gt;0,N181*($J$12/100/12),0)</f>
      </c>
      <c r="Y182" s="4">
        <f>IF(O181&gt;0,O181*($J$13/100/12),0)</f>
      </c>
      <c r="Z182" s="4">
        <f>IF(P181&gt;0,P181*($J$14/100/12),0)</f>
      </c>
      <c r="AA182" s="4">
        <f>IF(G181&lt;=0,0,MIN($K$5,(G181+Q182)))</f>
      </c>
      <c r="AB182" s="4">
        <f>IF(H181&lt;=0,0,MIN($K$6,(H181+R182)))</f>
      </c>
      <c r="AC182" s="4">
        <f>IF(I181&lt;=0,0,MIN($K$7,(I181+S182)))</f>
      </c>
      <c r="AD182" s="4">
        <f>IF(J181&lt;=0,0,MIN($K$8,(J181+T182)))</f>
      </c>
      <c r="AE182" s="4">
        <f>IF(K181&lt;=0,0,MIN($K$9,(K181+U182)))</f>
      </c>
      <c r="AF182" s="4">
        <f>IF(L181&lt;=0,0,MIN($K$10,(L181+V182)))</f>
      </c>
      <c r="AG182" s="4">
        <f>IF(M181&lt;=0,0,MIN($K$11,(M181+W182)))</f>
      </c>
      <c r="AH182" s="4">
        <f>IF(N181&lt;=0,0,MIN($K$12,(N181+X182)))</f>
      </c>
      <c r="AI182" s="4">
        <f>IF(O181&lt;=0,0,MIN($K$13,(O181+Y182)))</f>
      </c>
      <c r="AJ182" s="4">
        <f>IF(P181&lt;=0,0,MIN($K$14,(P181+Z182)))</f>
      </c>
      <c r="AK182" s="4">
        <f>(G181+Q182)-AA182</f>
      </c>
      <c r="AL182" s="4">
        <f>(H181+R182)-AB182</f>
      </c>
      <c r="AM182" s="4">
        <f>(I181+S182)-AC182</f>
      </c>
      <c r="AN182" s="4">
        <f>(J181+T182)-AD182</f>
      </c>
      <c r="AO182" s="4">
        <f>(K181+U182)-AE182</f>
      </c>
      <c r="AP182" s="4">
        <f>(L181+V182)-AF182</f>
      </c>
      <c r="AQ182" s="4">
        <f>(M181+W182)-AG182</f>
      </c>
      <c r="AR182" s="4">
        <f>(N181+X182)-AH182</f>
      </c>
      <c r="AS182" s="4">
        <f>(O181+Y182)-AI182</f>
      </c>
      <c r="AT182" s="4">
        <f>(P181+Z182)-AJ182</f>
      </c>
      <c r="AU182" s="4">
        <f>$B$16+SUM($K$5:$K$14)-SUM(AA182:AJ182)</f>
      </c>
      <c r="AV182" s="4">
        <f>AU182-BE182</f>
      </c>
      <c r="AW182" s="4">
        <f>AV182-BF182</f>
      </c>
      <c r="AX182" s="4">
        <f>AW182-BG182</f>
      </c>
      <c r="AY182" s="4">
        <f>AX182-BH182</f>
      </c>
      <c r="AZ182" s="4">
        <f>AY182-BI182</f>
      </c>
      <c r="BA182" s="4">
        <f>AZ182-BJ182</f>
      </c>
      <c r="BB182" s="4">
        <f>BA182-BK182</f>
      </c>
      <c r="BC182" s="4">
        <f>BB182-BL182</f>
      </c>
      <c r="BD182" s="4">
        <f>BC182-BM182</f>
      </c>
      <c r="BE182" s="4">
        <f>IF(G181&lt;=0,0,MIN(AU182,AK182))</f>
      </c>
      <c r="BF182" s="4">
        <f>IF(H181&lt;=0,0,MIN(AV182,AL182))</f>
      </c>
      <c r="BG182" s="4">
        <f>IF(I181&lt;=0,0,MIN(AW182,AM182))</f>
      </c>
      <c r="BH182" s="4">
        <f>IF(J181&lt;=0,0,MIN(AX182,AN182))</f>
      </c>
      <c r="BI182" s="4">
        <f>IF(K181&lt;=0,0,MIN(AY182,AO182))</f>
      </c>
      <c r="BJ182" s="4">
        <f>IF(L181&lt;=0,0,MIN(AZ182,AP182))</f>
      </c>
      <c r="BK182" s="4">
        <f>IF(M181&lt;=0,0,MIN(BA182,AQ182))</f>
      </c>
      <c r="BL182" s="4">
        <f>IF(N181&lt;=0,0,MIN(BB182,AR182))</f>
      </c>
      <c r="BM182" s="4">
        <f>IF(O181&lt;=0,0,MIN(BC182,AS182))</f>
      </c>
      <c r="BN182" s="4">
        <f>IF(P181&lt;=0,0,MIN(BD182,AT182))</f>
      </c>
    </row>
    <row r="183" spans="1:66" x14ac:dyDescent="0.25">
      <c r="A183">
        <v>156</v>
      </c>
      <c r="B183" s="7">
        <f>EDATE($B$17,156)</f>
      </c>
      <c r="C183" s="4">
        <f>SUM(G183:P183)</f>
      </c>
      <c r="D183" s="4">
        <f>SUM(Q183:Z183)</f>
      </c>
      <c r="E183" s="4">
        <f>SUM(AA183:AJ183)+SUM(BE183:BN183)</f>
      </c>
      <c r="G183" s="4">
        <f>MAX(0,AK183-BE183)</f>
      </c>
      <c r="H183" s="4">
        <f>MAX(0,AL183-BF183)</f>
      </c>
      <c r="I183" s="4">
        <f>MAX(0,AM183-BG183)</f>
      </c>
      <c r="J183" s="4">
        <f>MAX(0,AN183-BH183)</f>
      </c>
      <c r="K183" s="4">
        <f>MAX(0,AO183-BI183)</f>
      </c>
      <c r="L183" s="4">
        <f>MAX(0,AP183-BJ183)</f>
      </c>
      <c r="M183" s="4">
        <f>MAX(0,AQ183-BK183)</f>
      </c>
      <c r="N183" s="4">
        <f>MAX(0,AR183-BL183)</f>
      </c>
      <c r="O183" s="4">
        <f>MAX(0,AS183-BM183)</f>
      </c>
      <c r="P183" s="4">
        <f>MAX(0,AT183-BN183)</f>
      </c>
      <c r="Q183" s="4">
        <f>IF(G182&gt;0,G182*($J$5/100/12),0)</f>
      </c>
      <c r="R183" s="4">
        <f>IF(H182&gt;0,H182*($J$6/100/12),0)</f>
      </c>
      <c r="S183" s="4">
        <f>IF(I182&gt;0,I182*($J$7/100/12),0)</f>
      </c>
      <c r="T183" s="4">
        <f>IF(J182&gt;0,J182*($J$8/100/12),0)</f>
      </c>
      <c r="U183" s="4">
        <f>IF(K182&gt;0,K182*($J$9/100/12),0)</f>
      </c>
      <c r="V183" s="4">
        <f>IF(L182&gt;0,L182*($J$10/100/12),0)</f>
      </c>
      <c r="W183" s="4">
        <f>IF(M182&gt;0,M182*($J$11/100/12),0)</f>
      </c>
      <c r="X183" s="4">
        <f>IF(N182&gt;0,N182*($J$12/100/12),0)</f>
      </c>
      <c r="Y183" s="4">
        <f>IF(O182&gt;0,O182*($J$13/100/12),0)</f>
      </c>
      <c r="Z183" s="4">
        <f>IF(P182&gt;0,P182*($J$14/100/12),0)</f>
      </c>
      <c r="AA183" s="4">
        <f>IF(G182&lt;=0,0,MIN($K$5,(G182+Q183)))</f>
      </c>
      <c r="AB183" s="4">
        <f>IF(H182&lt;=0,0,MIN($K$6,(H182+R183)))</f>
      </c>
      <c r="AC183" s="4">
        <f>IF(I182&lt;=0,0,MIN($K$7,(I182+S183)))</f>
      </c>
      <c r="AD183" s="4">
        <f>IF(J182&lt;=0,0,MIN($K$8,(J182+T183)))</f>
      </c>
      <c r="AE183" s="4">
        <f>IF(K182&lt;=0,0,MIN($K$9,(K182+U183)))</f>
      </c>
      <c r="AF183" s="4">
        <f>IF(L182&lt;=0,0,MIN($K$10,(L182+V183)))</f>
      </c>
      <c r="AG183" s="4">
        <f>IF(M182&lt;=0,0,MIN($K$11,(M182+W183)))</f>
      </c>
      <c r="AH183" s="4">
        <f>IF(N182&lt;=0,0,MIN($K$12,(N182+X183)))</f>
      </c>
      <c r="AI183" s="4">
        <f>IF(O182&lt;=0,0,MIN($K$13,(O182+Y183)))</f>
      </c>
      <c r="AJ183" s="4">
        <f>IF(P182&lt;=0,0,MIN($K$14,(P182+Z183)))</f>
      </c>
      <c r="AK183" s="4">
        <f>(G182+Q183)-AA183</f>
      </c>
      <c r="AL183" s="4">
        <f>(H182+R183)-AB183</f>
      </c>
      <c r="AM183" s="4">
        <f>(I182+S183)-AC183</f>
      </c>
      <c r="AN183" s="4">
        <f>(J182+T183)-AD183</f>
      </c>
      <c r="AO183" s="4">
        <f>(K182+U183)-AE183</f>
      </c>
      <c r="AP183" s="4">
        <f>(L182+V183)-AF183</f>
      </c>
      <c r="AQ183" s="4">
        <f>(M182+W183)-AG183</f>
      </c>
      <c r="AR183" s="4">
        <f>(N182+X183)-AH183</f>
      </c>
      <c r="AS183" s="4">
        <f>(O182+Y183)-AI183</f>
      </c>
      <c r="AT183" s="4">
        <f>(P182+Z183)-AJ183</f>
      </c>
      <c r="AU183" s="4">
        <f>$B$16+SUM($K$5:$K$14)-SUM(AA183:AJ183)</f>
      </c>
      <c r="AV183" s="4">
        <f>AU183-BE183</f>
      </c>
      <c r="AW183" s="4">
        <f>AV183-BF183</f>
      </c>
      <c r="AX183" s="4">
        <f>AW183-BG183</f>
      </c>
      <c r="AY183" s="4">
        <f>AX183-BH183</f>
      </c>
      <c r="AZ183" s="4">
        <f>AY183-BI183</f>
      </c>
      <c r="BA183" s="4">
        <f>AZ183-BJ183</f>
      </c>
      <c r="BB183" s="4">
        <f>BA183-BK183</f>
      </c>
      <c r="BC183" s="4">
        <f>BB183-BL183</f>
      </c>
      <c r="BD183" s="4">
        <f>BC183-BM183</f>
      </c>
      <c r="BE183" s="4">
        <f>IF(G182&lt;=0,0,MIN(AU183,AK183))</f>
      </c>
      <c r="BF183" s="4">
        <f>IF(H182&lt;=0,0,MIN(AV183,AL183))</f>
      </c>
      <c r="BG183" s="4">
        <f>IF(I182&lt;=0,0,MIN(AW183,AM183))</f>
      </c>
      <c r="BH183" s="4">
        <f>IF(J182&lt;=0,0,MIN(AX183,AN183))</f>
      </c>
      <c r="BI183" s="4">
        <f>IF(K182&lt;=0,0,MIN(AY183,AO183))</f>
      </c>
      <c r="BJ183" s="4">
        <f>IF(L182&lt;=0,0,MIN(AZ183,AP183))</f>
      </c>
      <c r="BK183" s="4">
        <f>IF(M182&lt;=0,0,MIN(BA183,AQ183))</f>
      </c>
      <c r="BL183" s="4">
        <f>IF(N182&lt;=0,0,MIN(BB183,AR183))</f>
      </c>
      <c r="BM183" s="4">
        <f>IF(O182&lt;=0,0,MIN(BC183,AS183))</f>
      </c>
      <c r="BN183" s="4">
        <f>IF(P182&lt;=0,0,MIN(BD183,AT183))</f>
      </c>
    </row>
    <row r="184" spans="1:66" x14ac:dyDescent="0.25">
      <c r="A184">
        <v>157</v>
      </c>
      <c r="B184" s="7">
        <f>EDATE($B$17,157)</f>
      </c>
      <c r="C184" s="4">
        <f>SUM(G184:P184)</f>
      </c>
      <c r="D184" s="4">
        <f>SUM(Q184:Z184)</f>
      </c>
      <c r="E184" s="4">
        <f>SUM(AA184:AJ184)+SUM(BE184:BN184)</f>
      </c>
      <c r="G184" s="4">
        <f>MAX(0,AK184-BE184)</f>
      </c>
      <c r="H184" s="4">
        <f>MAX(0,AL184-BF184)</f>
      </c>
      <c r="I184" s="4">
        <f>MAX(0,AM184-BG184)</f>
      </c>
      <c r="J184" s="4">
        <f>MAX(0,AN184-BH184)</f>
      </c>
      <c r="K184" s="4">
        <f>MAX(0,AO184-BI184)</f>
      </c>
      <c r="L184" s="4">
        <f>MAX(0,AP184-BJ184)</f>
      </c>
      <c r="M184" s="4">
        <f>MAX(0,AQ184-BK184)</f>
      </c>
      <c r="N184" s="4">
        <f>MAX(0,AR184-BL184)</f>
      </c>
      <c r="O184" s="4">
        <f>MAX(0,AS184-BM184)</f>
      </c>
      <c r="P184" s="4">
        <f>MAX(0,AT184-BN184)</f>
      </c>
      <c r="Q184" s="4">
        <f>IF(G183&gt;0,G183*($J$5/100/12),0)</f>
      </c>
      <c r="R184" s="4">
        <f>IF(H183&gt;0,H183*($J$6/100/12),0)</f>
      </c>
      <c r="S184" s="4">
        <f>IF(I183&gt;0,I183*($J$7/100/12),0)</f>
      </c>
      <c r="T184" s="4">
        <f>IF(J183&gt;0,J183*($J$8/100/12),0)</f>
      </c>
      <c r="U184" s="4">
        <f>IF(K183&gt;0,K183*($J$9/100/12),0)</f>
      </c>
      <c r="V184" s="4">
        <f>IF(L183&gt;0,L183*($J$10/100/12),0)</f>
      </c>
      <c r="W184" s="4">
        <f>IF(M183&gt;0,M183*($J$11/100/12),0)</f>
      </c>
      <c r="X184" s="4">
        <f>IF(N183&gt;0,N183*($J$12/100/12),0)</f>
      </c>
      <c r="Y184" s="4">
        <f>IF(O183&gt;0,O183*($J$13/100/12),0)</f>
      </c>
      <c r="Z184" s="4">
        <f>IF(P183&gt;0,P183*($J$14/100/12),0)</f>
      </c>
      <c r="AA184" s="4">
        <f>IF(G183&lt;=0,0,MIN($K$5,(G183+Q184)))</f>
      </c>
      <c r="AB184" s="4">
        <f>IF(H183&lt;=0,0,MIN($K$6,(H183+R184)))</f>
      </c>
      <c r="AC184" s="4">
        <f>IF(I183&lt;=0,0,MIN($K$7,(I183+S184)))</f>
      </c>
      <c r="AD184" s="4">
        <f>IF(J183&lt;=0,0,MIN($K$8,(J183+T184)))</f>
      </c>
      <c r="AE184" s="4">
        <f>IF(K183&lt;=0,0,MIN($K$9,(K183+U184)))</f>
      </c>
      <c r="AF184" s="4">
        <f>IF(L183&lt;=0,0,MIN($K$10,(L183+V184)))</f>
      </c>
      <c r="AG184" s="4">
        <f>IF(M183&lt;=0,0,MIN($K$11,(M183+W184)))</f>
      </c>
      <c r="AH184" s="4">
        <f>IF(N183&lt;=0,0,MIN($K$12,(N183+X184)))</f>
      </c>
      <c r="AI184" s="4">
        <f>IF(O183&lt;=0,0,MIN($K$13,(O183+Y184)))</f>
      </c>
      <c r="AJ184" s="4">
        <f>IF(P183&lt;=0,0,MIN($K$14,(P183+Z184)))</f>
      </c>
      <c r="AK184" s="4">
        <f>(G183+Q184)-AA184</f>
      </c>
      <c r="AL184" s="4">
        <f>(H183+R184)-AB184</f>
      </c>
      <c r="AM184" s="4">
        <f>(I183+S184)-AC184</f>
      </c>
      <c r="AN184" s="4">
        <f>(J183+T184)-AD184</f>
      </c>
      <c r="AO184" s="4">
        <f>(K183+U184)-AE184</f>
      </c>
      <c r="AP184" s="4">
        <f>(L183+V184)-AF184</f>
      </c>
      <c r="AQ184" s="4">
        <f>(M183+W184)-AG184</f>
      </c>
      <c r="AR184" s="4">
        <f>(N183+X184)-AH184</f>
      </c>
      <c r="AS184" s="4">
        <f>(O183+Y184)-AI184</f>
      </c>
      <c r="AT184" s="4">
        <f>(P183+Z184)-AJ184</f>
      </c>
      <c r="AU184" s="4">
        <f>$B$16+SUM($K$5:$K$14)-SUM(AA184:AJ184)</f>
      </c>
      <c r="AV184" s="4">
        <f>AU184-BE184</f>
      </c>
      <c r="AW184" s="4">
        <f>AV184-BF184</f>
      </c>
      <c r="AX184" s="4">
        <f>AW184-BG184</f>
      </c>
      <c r="AY184" s="4">
        <f>AX184-BH184</f>
      </c>
      <c r="AZ184" s="4">
        <f>AY184-BI184</f>
      </c>
      <c r="BA184" s="4">
        <f>AZ184-BJ184</f>
      </c>
      <c r="BB184" s="4">
        <f>BA184-BK184</f>
      </c>
      <c r="BC184" s="4">
        <f>BB184-BL184</f>
      </c>
      <c r="BD184" s="4">
        <f>BC184-BM184</f>
      </c>
      <c r="BE184" s="4">
        <f>IF(G183&lt;=0,0,MIN(AU184,AK184))</f>
      </c>
      <c r="BF184" s="4">
        <f>IF(H183&lt;=0,0,MIN(AV184,AL184))</f>
      </c>
      <c r="BG184" s="4">
        <f>IF(I183&lt;=0,0,MIN(AW184,AM184))</f>
      </c>
      <c r="BH184" s="4">
        <f>IF(J183&lt;=0,0,MIN(AX184,AN184))</f>
      </c>
      <c r="BI184" s="4">
        <f>IF(K183&lt;=0,0,MIN(AY184,AO184))</f>
      </c>
      <c r="BJ184" s="4">
        <f>IF(L183&lt;=0,0,MIN(AZ184,AP184))</f>
      </c>
      <c r="BK184" s="4">
        <f>IF(M183&lt;=0,0,MIN(BA184,AQ184))</f>
      </c>
      <c r="BL184" s="4">
        <f>IF(N183&lt;=0,0,MIN(BB184,AR184))</f>
      </c>
      <c r="BM184" s="4">
        <f>IF(O183&lt;=0,0,MIN(BC184,AS184))</f>
      </c>
      <c r="BN184" s="4">
        <f>IF(P183&lt;=0,0,MIN(BD184,AT184))</f>
      </c>
    </row>
    <row r="185" spans="1:66" x14ac:dyDescent="0.25">
      <c r="A185">
        <v>158</v>
      </c>
      <c r="B185" s="7">
        <f>EDATE($B$17,158)</f>
      </c>
      <c r="C185" s="4">
        <f>SUM(G185:P185)</f>
      </c>
      <c r="D185" s="4">
        <f>SUM(Q185:Z185)</f>
      </c>
      <c r="E185" s="4">
        <f>SUM(AA185:AJ185)+SUM(BE185:BN185)</f>
      </c>
      <c r="G185" s="4">
        <f>MAX(0,AK185-BE185)</f>
      </c>
      <c r="H185" s="4">
        <f>MAX(0,AL185-BF185)</f>
      </c>
      <c r="I185" s="4">
        <f>MAX(0,AM185-BG185)</f>
      </c>
      <c r="J185" s="4">
        <f>MAX(0,AN185-BH185)</f>
      </c>
      <c r="K185" s="4">
        <f>MAX(0,AO185-BI185)</f>
      </c>
      <c r="L185" s="4">
        <f>MAX(0,AP185-BJ185)</f>
      </c>
      <c r="M185" s="4">
        <f>MAX(0,AQ185-BK185)</f>
      </c>
      <c r="N185" s="4">
        <f>MAX(0,AR185-BL185)</f>
      </c>
      <c r="O185" s="4">
        <f>MAX(0,AS185-BM185)</f>
      </c>
      <c r="P185" s="4">
        <f>MAX(0,AT185-BN185)</f>
      </c>
      <c r="Q185" s="4">
        <f>IF(G184&gt;0,G184*($J$5/100/12),0)</f>
      </c>
      <c r="R185" s="4">
        <f>IF(H184&gt;0,H184*($J$6/100/12),0)</f>
      </c>
      <c r="S185" s="4">
        <f>IF(I184&gt;0,I184*($J$7/100/12),0)</f>
      </c>
      <c r="T185" s="4">
        <f>IF(J184&gt;0,J184*($J$8/100/12),0)</f>
      </c>
      <c r="U185" s="4">
        <f>IF(K184&gt;0,K184*($J$9/100/12),0)</f>
      </c>
      <c r="V185" s="4">
        <f>IF(L184&gt;0,L184*($J$10/100/12),0)</f>
      </c>
      <c r="W185" s="4">
        <f>IF(M184&gt;0,M184*($J$11/100/12),0)</f>
      </c>
      <c r="X185" s="4">
        <f>IF(N184&gt;0,N184*($J$12/100/12),0)</f>
      </c>
      <c r="Y185" s="4">
        <f>IF(O184&gt;0,O184*($J$13/100/12),0)</f>
      </c>
      <c r="Z185" s="4">
        <f>IF(P184&gt;0,P184*($J$14/100/12),0)</f>
      </c>
      <c r="AA185" s="4">
        <f>IF(G184&lt;=0,0,MIN($K$5,(G184+Q185)))</f>
      </c>
      <c r="AB185" s="4">
        <f>IF(H184&lt;=0,0,MIN($K$6,(H184+R185)))</f>
      </c>
      <c r="AC185" s="4">
        <f>IF(I184&lt;=0,0,MIN($K$7,(I184+S185)))</f>
      </c>
      <c r="AD185" s="4">
        <f>IF(J184&lt;=0,0,MIN($K$8,(J184+T185)))</f>
      </c>
      <c r="AE185" s="4">
        <f>IF(K184&lt;=0,0,MIN($K$9,(K184+U185)))</f>
      </c>
      <c r="AF185" s="4">
        <f>IF(L184&lt;=0,0,MIN($K$10,(L184+V185)))</f>
      </c>
      <c r="AG185" s="4">
        <f>IF(M184&lt;=0,0,MIN($K$11,(M184+W185)))</f>
      </c>
      <c r="AH185" s="4">
        <f>IF(N184&lt;=0,0,MIN($K$12,(N184+X185)))</f>
      </c>
      <c r="AI185" s="4">
        <f>IF(O184&lt;=0,0,MIN($K$13,(O184+Y185)))</f>
      </c>
      <c r="AJ185" s="4">
        <f>IF(P184&lt;=0,0,MIN($K$14,(P184+Z185)))</f>
      </c>
      <c r="AK185" s="4">
        <f>(G184+Q185)-AA185</f>
      </c>
      <c r="AL185" s="4">
        <f>(H184+R185)-AB185</f>
      </c>
      <c r="AM185" s="4">
        <f>(I184+S185)-AC185</f>
      </c>
      <c r="AN185" s="4">
        <f>(J184+T185)-AD185</f>
      </c>
      <c r="AO185" s="4">
        <f>(K184+U185)-AE185</f>
      </c>
      <c r="AP185" s="4">
        <f>(L184+V185)-AF185</f>
      </c>
      <c r="AQ185" s="4">
        <f>(M184+W185)-AG185</f>
      </c>
      <c r="AR185" s="4">
        <f>(N184+X185)-AH185</f>
      </c>
      <c r="AS185" s="4">
        <f>(O184+Y185)-AI185</f>
      </c>
      <c r="AT185" s="4">
        <f>(P184+Z185)-AJ185</f>
      </c>
      <c r="AU185" s="4">
        <f>$B$16+SUM($K$5:$K$14)-SUM(AA185:AJ185)</f>
      </c>
      <c r="AV185" s="4">
        <f>AU185-BE185</f>
      </c>
      <c r="AW185" s="4">
        <f>AV185-BF185</f>
      </c>
      <c r="AX185" s="4">
        <f>AW185-BG185</f>
      </c>
      <c r="AY185" s="4">
        <f>AX185-BH185</f>
      </c>
      <c r="AZ185" s="4">
        <f>AY185-BI185</f>
      </c>
      <c r="BA185" s="4">
        <f>AZ185-BJ185</f>
      </c>
      <c r="BB185" s="4">
        <f>BA185-BK185</f>
      </c>
      <c r="BC185" s="4">
        <f>BB185-BL185</f>
      </c>
      <c r="BD185" s="4">
        <f>BC185-BM185</f>
      </c>
      <c r="BE185" s="4">
        <f>IF(G184&lt;=0,0,MIN(AU185,AK185))</f>
      </c>
      <c r="BF185" s="4">
        <f>IF(H184&lt;=0,0,MIN(AV185,AL185))</f>
      </c>
      <c r="BG185" s="4">
        <f>IF(I184&lt;=0,0,MIN(AW185,AM185))</f>
      </c>
      <c r="BH185" s="4">
        <f>IF(J184&lt;=0,0,MIN(AX185,AN185))</f>
      </c>
      <c r="BI185" s="4">
        <f>IF(K184&lt;=0,0,MIN(AY185,AO185))</f>
      </c>
      <c r="BJ185" s="4">
        <f>IF(L184&lt;=0,0,MIN(AZ185,AP185))</f>
      </c>
      <c r="BK185" s="4">
        <f>IF(M184&lt;=0,0,MIN(BA185,AQ185))</f>
      </c>
      <c r="BL185" s="4">
        <f>IF(N184&lt;=0,0,MIN(BB185,AR185))</f>
      </c>
      <c r="BM185" s="4">
        <f>IF(O184&lt;=0,0,MIN(BC185,AS185))</f>
      </c>
      <c r="BN185" s="4">
        <f>IF(P184&lt;=0,0,MIN(BD185,AT185))</f>
      </c>
    </row>
    <row r="186" spans="1:66" x14ac:dyDescent="0.25">
      <c r="A186">
        <v>159</v>
      </c>
      <c r="B186" s="7">
        <f>EDATE($B$17,159)</f>
      </c>
      <c r="C186" s="4">
        <f>SUM(G186:P186)</f>
      </c>
      <c r="D186" s="4">
        <f>SUM(Q186:Z186)</f>
      </c>
      <c r="E186" s="4">
        <f>SUM(AA186:AJ186)+SUM(BE186:BN186)</f>
      </c>
      <c r="G186" s="4">
        <f>MAX(0,AK186-BE186)</f>
      </c>
      <c r="H186" s="4">
        <f>MAX(0,AL186-BF186)</f>
      </c>
      <c r="I186" s="4">
        <f>MAX(0,AM186-BG186)</f>
      </c>
      <c r="J186" s="4">
        <f>MAX(0,AN186-BH186)</f>
      </c>
      <c r="K186" s="4">
        <f>MAX(0,AO186-BI186)</f>
      </c>
      <c r="L186" s="4">
        <f>MAX(0,AP186-BJ186)</f>
      </c>
      <c r="M186" s="4">
        <f>MAX(0,AQ186-BK186)</f>
      </c>
      <c r="N186" s="4">
        <f>MAX(0,AR186-BL186)</f>
      </c>
      <c r="O186" s="4">
        <f>MAX(0,AS186-BM186)</f>
      </c>
      <c r="P186" s="4">
        <f>MAX(0,AT186-BN186)</f>
      </c>
      <c r="Q186" s="4">
        <f>IF(G185&gt;0,G185*($J$5/100/12),0)</f>
      </c>
      <c r="R186" s="4">
        <f>IF(H185&gt;0,H185*($J$6/100/12),0)</f>
      </c>
      <c r="S186" s="4">
        <f>IF(I185&gt;0,I185*($J$7/100/12),0)</f>
      </c>
      <c r="T186" s="4">
        <f>IF(J185&gt;0,J185*($J$8/100/12),0)</f>
      </c>
      <c r="U186" s="4">
        <f>IF(K185&gt;0,K185*($J$9/100/12),0)</f>
      </c>
      <c r="V186" s="4">
        <f>IF(L185&gt;0,L185*($J$10/100/12),0)</f>
      </c>
      <c r="W186" s="4">
        <f>IF(M185&gt;0,M185*($J$11/100/12),0)</f>
      </c>
      <c r="X186" s="4">
        <f>IF(N185&gt;0,N185*($J$12/100/12),0)</f>
      </c>
      <c r="Y186" s="4">
        <f>IF(O185&gt;0,O185*($J$13/100/12),0)</f>
      </c>
      <c r="Z186" s="4">
        <f>IF(P185&gt;0,P185*($J$14/100/12),0)</f>
      </c>
      <c r="AA186" s="4">
        <f>IF(G185&lt;=0,0,MIN($K$5,(G185+Q186)))</f>
      </c>
      <c r="AB186" s="4">
        <f>IF(H185&lt;=0,0,MIN($K$6,(H185+R186)))</f>
      </c>
      <c r="AC186" s="4">
        <f>IF(I185&lt;=0,0,MIN($K$7,(I185+S186)))</f>
      </c>
      <c r="AD186" s="4">
        <f>IF(J185&lt;=0,0,MIN($K$8,(J185+T186)))</f>
      </c>
      <c r="AE186" s="4">
        <f>IF(K185&lt;=0,0,MIN($K$9,(K185+U186)))</f>
      </c>
      <c r="AF186" s="4">
        <f>IF(L185&lt;=0,0,MIN($K$10,(L185+V186)))</f>
      </c>
      <c r="AG186" s="4">
        <f>IF(M185&lt;=0,0,MIN($K$11,(M185+W186)))</f>
      </c>
      <c r="AH186" s="4">
        <f>IF(N185&lt;=0,0,MIN($K$12,(N185+X186)))</f>
      </c>
      <c r="AI186" s="4">
        <f>IF(O185&lt;=0,0,MIN($K$13,(O185+Y186)))</f>
      </c>
      <c r="AJ186" s="4">
        <f>IF(P185&lt;=0,0,MIN($K$14,(P185+Z186)))</f>
      </c>
      <c r="AK186" s="4">
        <f>(G185+Q186)-AA186</f>
      </c>
      <c r="AL186" s="4">
        <f>(H185+R186)-AB186</f>
      </c>
      <c r="AM186" s="4">
        <f>(I185+S186)-AC186</f>
      </c>
      <c r="AN186" s="4">
        <f>(J185+T186)-AD186</f>
      </c>
      <c r="AO186" s="4">
        <f>(K185+U186)-AE186</f>
      </c>
      <c r="AP186" s="4">
        <f>(L185+V186)-AF186</f>
      </c>
      <c r="AQ186" s="4">
        <f>(M185+W186)-AG186</f>
      </c>
      <c r="AR186" s="4">
        <f>(N185+X186)-AH186</f>
      </c>
      <c r="AS186" s="4">
        <f>(O185+Y186)-AI186</f>
      </c>
      <c r="AT186" s="4">
        <f>(P185+Z186)-AJ186</f>
      </c>
      <c r="AU186" s="4">
        <f>$B$16+SUM($K$5:$K$14)-SUM(AA186:AJ186)</f>
      </c>
      <c r="AV186" s="4">
        <f>AU186-BE186</f>
      </c>
      <c r="AW186" s="4">
        <f>AV186-BF186</f>
      </c>
      <c r="AX186" s="4">
        <f>AW186-BG186</f>
      </c>
      <c r="AY186" s="4">
        <f>AX186-BH186</f>
      </c>
      <c r="AZ186" s="4">
        <f>AY186-BI186</f>
      </c>
      <c r="BA186" s="4">
        <f>AZ186-BJ186</f>
      </c>
      <c r="BB186" s="4">
        <f>BA186-BK186</f>
      </c>
      <c r="BC186" s="4">
        <f>BB186-BL186</f>
      </c>
      <c r="BD186" s="4">
        <f>BC186-BM186</f>
      </c>
      <c r="BE186" s="4">
        <f>IF(G185&lt;=0,0,MIN(AU186,AK186))</f>
      </c>
      <c r="BF186" s="4">
        <f>IF(H185&lt;=0,0,MIN(AV186,AL186))</f>
      </c>
      <c r="BG186" s="4">
        <f>IF(I185&lt;=0,0,MIN(AW186,AM186))</f>
      </c>
      <c r="BH186" s="4">
        <f>IF(J185&lt;=0,0,MIN(AX186,AN186))</f>
      </c>
      <c r="BI186" s="4">
        <f>IF(K185&lt;=0,0,MIN(AY186,AO186))</f>
      </c>
      <c r="BJ186" s="4">
        <f>IF(L185&lt;=0,0,MIN(AZ186,AP186))</f>
      </c>
      <c r="BK186" s="4">
        <f>IF(M185&lt;=0,0,MIN(BA186,AQ186))</f>
      </c>
      <c r="BL186" s="4">
        <f>IF(N185&lt;=0,0,MIN(BB186,AR186))</f>
      </c>
      <c r="BM186" s="4">
        <f>IF(O185&lt;=0,0,MIN(BC186,AS186))</f>
      </c>
      <c r="BN186" s="4">
        <f>IF(P185&lt;=0,0,MIN(BD186,AT186))</f>
      </c>
    </row>
    <row r="187" spans="1:66" x14ac:dyDescent="0.25">
      <c r="A187">
        <v>160</v>
      </c>
      <c r="B187" s="7">
        <f>EDATE($B$17,160)</f>
      </c>
      <c r="C187" s="4">
        <f>SUM(G187:P187)</f>
      </c>
      <c r="D187" s="4">
        <f>SUM(Q187:Z187)</f>
      </c>
      <c r="E187" s="4">
        <f>SUM(AA187:AJ187)+SUM(BE187:BN187)</f>
      </c>
      <c r="G187" s="4">
        <f>MAX(0,AK187-BE187)</f>
      </c>
      <c r="H187" s="4">
        <f>MAX(0,AL187-BF187)</f>
      </c>
      <c r="I187" s="4">
        <f>MAX(0,AM187-BG187)</f>
      </c>
      <c r="J187" s="4">
        <f>MAX(0,AN187-BH187)</f>
      </c>
      <c r="K187" s="4">
        <f>MAX(0,AO187-BI187)</f>
      </c>
      <c r="L187" s="4">
        <f>MAX(0,AP187-BJ187)</f>
      </c>
      <c r="M187" s="4">
        <f>MAX(0,AQ187-BK187)</f>
      </c>
      <c r="N187" s="4">
        <f>MAX(0,AR187-BL187)</f>
      </c>
      <c r="O187" s="4">
        <f>MAX(0,AS187-BM187)</f>
      </c>
      <c r="P187" s="4">
        <f>MAX(0,AT187-BN187)</f>
      </c>
      <c r="Q187" s="4">
        <f>IF(G186&gt;0,G186*($J$5/100/12),0)</f>
      </c>
      <c r="R187" s="4">
        <f>IF(H186&gt;0,H186*($J$6/100/12),0)</f>
      </c>
      <c r="S187" s="4">
        <f>IF(I186&gt;0,I186*($J$7/100/12),0)</f>
      </c>
      <c r="T187" s="4">
        <f>IF(J186&gt;0,J186*($J$8/100/12),0)</f>
      </c>
      <c r="U187" s="4">
        <f>IF(K186&gt;0,K186*($J$9/100/12),0)</f>
      </c>
      <c r="V187" s="4">
        <f>IF(L186&gt;0,L186*($J$10/100/12),0)</f>
      </c>
      <c r="W187" s="4">
        <f>IF(M186&gt;0,M186*($J$11/100/12),0)</f>
      </c>
      <c r="X187" s="4">
        <f>IF(N186&gt;0,N186*($J$12/100/12),0)</f>
      </c>
      <c r="Y187" s="4">
        <f>IF(O186&gt;0,O186*($J$13/100/12),0)</f>
      </c>
      <c r="Z187" s="4">
        <f>IF(P186&gt;0,P186*($J$14/100/12),0)</f>
      </c>
      <c r="AA187" s="4">
        <f>IF(G186&lt;=0,0,MIN($K$5,(G186+Q187)))</f>
      </c>
      <c r="AB187" s="4">
        <f>IF(H186&lt;=0,0,MIN($K$6,(H186+R187)))</f>
      </c>
      <c r="AC187" s="4">
        <f>IF(I186&lt;=0,0,MIN($K$7,(I186+S187)))</f>
      </c>
      <c r="AD187" s="4">
        <f>IF(J186&lt;=0,0,MIN($K$8,(J186+T187)))</f>
      </c>
      <c r="AE187" s="4">
        <f>IF(K186&lt;=0,0,MIN($K$9,(K186+U187)))</f>
      </c>
      <c r="AF187" s="4">
        <f>IF(L186&lt;=0,0,MIN($K$10,(L186+V187)))</f>
      </c>
      <c r="AG187" s="4">
        <f>IF(M186&lt;=0,0,MIN($K$11,(M186+W187)))</f>
      </c>
      <c r="AH187" s="4">
        <f>IF(N186&lt;=0,0,MIN($K$12,(N186+X187)))</f>
      </c>
      <c r="AI187" s="4">
        <f>IF(O186&lt;=0,0,MIN($K$13,(O186+Y187)))</f>
      </c>
      <c r="AJ187" s="4">
        <f>IF(P186&lt;=0,0,MIN($K$14,(P186+Z187)))</f>
      </c>
      <c r="AK187" s="4">
        <f>(G186+Q187)-AA187</f>
      </c>
      <c r="AL187" s="4">
        <f>(H186+R187)-AB187</f>
      </c>
      <c r="AM187" s="4">
        <f>(I186+S187)-AC187</f>
      </c>
      <c r="AN187" s="4">
        <f>(J186+T187)-AD187</f>
      </c>
      <c r="AO187" s="4">
        <f>(K186+U187)-AE187</f>
      </c>
      <c r="AP187" s="4">
        <f>(L186+V187)-AF187</f>
      </c>
      <c r="AQ187" s="4">
        <f>(M186+W187)-AG187</f>
      </c>
      <c r="AR187" s="4">
        <f>(N186+X187)-AH187</f>
      </c>
      <c r="AS187" s="4">
        <f>(O186+Y187)-AI187</f>
      </c>
      <c r="AT187" s="4">
        <f>(P186+Z187)-AJ187</f>
      </c>
      <c r="AU187" s="4">
        <f>$B$16+SUM($K$5:$K$14)-SUM(AA187:AJ187)</f>
      </c>
      <c r="AV187" s="4">
        <f>AU187-BE187</f>
      </c>
      <c r="AW187" s="4">
        <f>AV187-BF187</f>
      </c>
      <c r="AX187" s="4">
        <f>AW187-BG187</f>
      </c>
      <c r="AY187" s="4">
        <f>AX187-BH187</f>
      </c>
      <c r="AZ187" s="4">
        <f>AY187-BI187</f>
      </c>
      <c r="BA187" s="4">
        <f>AZ187-BJ187</f>
      </c>
      <c r="BB187" s="4">
        <f>BA187-BK187</f>
      </c>
      <c r="BC187" s="4">
        <f>BB187-BL187</f>
      </c>
      <c r="BD187" s="4">
        <f>BC187-BM187</f>
      </c>
      <c r="BE187" s="4">
        <f>IF(G186&lt;=0,0,MIN(AU187,AK187))</f>
      </c>
      <c r="BF187" s="4">
        <f>IF(H186&lt;=0,0,MIN(AV187,AL187))</f>
      </c>
      <c r="BG187" s="4">
        <f>IF(I186&lt;=0,0,MIN(AW187,AM187))</f>
      </c>
      <c r="BH187" s="4">
        <f>IF(J186&lt;=0,0,MIN(AX187,AN187))</f>
      </c>
      <c r="BI187" s="4">
        <f>IF(K186&lt;=0,0,MIN(AY187,AO187))</f>
      </c>
      <c r="BJ187" s="4">
        <f>IF(L186&lt;=0,0,MIN(AZ187,AP187))</f>
      </c>
      <c r="BK187" s="4">
        <f>IF(M186&lt;=0,0,MIN(BA187,AQ187))</f>
      </c>
      <c r="BL187" s="4">
        <f>IF(N186&lt;=0,0,MIN(BB187,AR187))</f>
      </c>
      <c r="BM187" s="4">
        <f>IF(O186&lt;=0,0,MIN(BC187,AS187))</f>
      </c>
      <c r="BN187" s="4">
        <f>IF(P186&lt;=0,0,MIN(BD187,AT187))</f>
      </c>
    </row>
    <row r="188" spans="1:66" x14ac:dyDescent="0.25">
      <c r="A188">
        <v>161</v>
      </c>
      <c r="B188" s="7">
        <f>EDATE($B$17,161)</f>
      </c>
      <c r="C188" s="4">
        <f>SUM(G188:P188)</f>
      </c>
      <c r="D188" s="4">
        <f>SUM(Q188:Z188)</f>
      </c>
      <c r="E188" s="4">
        <f>SUM(AA188:AJ188)+SUM(BE188:BN188)</f>
      </c>
      <c r="G188" s="4">
        <f>MAX(0,AK188-BE188)</f>
      </c>
      <c r="H188" s="4">
        <f>MAX(0,AL188-BF188)</f>
      </c>
      <c r="I188" s="4">
        <f>MAX(0,AM188-BG188)</f>
      </c>
      <c r="J188" s="4">
        <f>MAX(0,AN188-BH188)</f>
      </c>
      <c r="K188" s="4">
        <f>MAX(0,AO188-BI188)</f>
      </c>
      <c r="L188" s="4">
        <f>MAX(0,AP188-BJ188)</f>
      </c>
      <c r="M188" s="4">
        <f>MAX(0,AQ188-BK188)</f>
      </c>
      <c r="N188" s="4">
        <f>MAX(0,AR188-BL188)</f>
      </c>
      <c r="O188" s="4">
        <f>MAX(0,AS188-BM188)</f>
      </c>
      <c r="P188" s="4">
        <f>MAX(0,AT188-BN188)</f>
      </c>
      <c r="Q188" s="4">
        <f>IF(G187&gt;0,G187*($J$5/100/12),0)</f>
      </c>
      <c r="R188" s="4">
        <f>IF(H187&gt;0,H187*($J$6/100/12),0)</f>
      </c>
      <c r="S188" s="4">
        <f>IF(I187&gt;0,I187*($J$7/100/12),0)</f>
      </c>
      <c r="T188" s="4">
        <f>IF(J187&gt;0,J187*($J$8/100/12),0)</f>
      </c>
      <c r="U188" s="4">
        <f>IF(K187&gt;0,K187*($J$9/100/12),0)</f>
      </c>
      <c r="V188" s="4">
        <f>IF(L187&gt;0,L187*($J$10/100/12),0)</f>
      </c>
      <c r="W188" s="4">
        <f>IF(M187&gt;0,M187*($J$11/100/12),0)</f>
      </c>
      <c r="X188" s="4">
        <f>IF(N187&gt;0,N187*($J$12/100/12),0)</f>
      </c>
      <c r="Y188" s="4">
        <f>IF(O187&gt;0,O187*($J$13/100/12),0)</f>
      </c>
      <c r="Z188" s="4">
        <f>IF(P187&gt;0,P187*($J$14/100/12),0)</f>
      </c>
      <c r="AA188" s="4">
        <f>IF(G187&lt;=0,0,MIN($K$5,(G187+Q188)))</f>
      </c>
      <c r="AB188" s="4">
        <f>IF(H187&lt;=0,0,MIN($K$6,(H187+R188)))</f>
      </c>
      <c r="AC188" s="4">
        <f>IF(I187&lt;=0,0,MIN($K$7,(I187+S188)))</f>
      </c>
      <c r="AD188" s="4">
        <f>IF(J187&lt;=0,0,MIN($K$8,(J187+T188)))</f>
      </c>
      <c r="AE188" s="4">
        <f>IF(K187&lt;=0,0,MIN($K$9,(K187+U188)))</f>
      </c>
      <c r="AF188" s="4">
        <f>IF(L187&lt;=0,0,MIN($K$10,(L187+V188)))</f>
      </c>
      <c r="AG188" s="4">
        <f>IF(M187&lt;=0,0,MIN($K$11,(M187+W188)))</f>
      </c>
      <c r="AH188" s="4">
        <f>IF(N187&lt;=0,0,MIN($K$12,(N187+X188)))</f>
      </c>
      <c r="AI188" s="4">
        <f>IF(O187&lt;=0,0,MIN($K$13,(O187+Y188)))</f>
      </c>
      <c r="AJ188" s="4">
        <f>IF(P187&lt;=0,0,MIN($K$14,(P187+Z188)))</f>
      </c>
      <c r="AK188" s="4">
        <f>(G187+Q188)-AA188</f>
      </c>
      <c r="AL188" s="4">
        <f>(H187+R188)-AB188</f>
      </c>
      <c r="AM188" s="4">
        <f>(I187+S188)-AC188</f>
      </c>
      <c r="AN188" s="4">
        <f>(J187+T188)-AD188</f>
      </c>
      <c r="AO188" s="4">
        <f>(K187+U188)-AE188</f>
      </c>
      <c r="AP188" s="4">
        <f>(L187+V188)-AF188</f>
      </c>
      <c r="AQ188" s="4">
        <f>(M187+W188)-AG188</f>
      </c>
      <c r="AR188" s="4">
        <f>(N187+X188)-AH188</f>
      </c>
      <c r="AS188" s="4">
        <f>(O187+Y188)-AI188</f>
      </c>
      <c r="AT188" s="4">
        <f>(P187+Z188)-AJ188</f>
      </c>
      <c r="AU188" s="4">
        <f>$B$16+SUM($K$5:$K$14)-SUM(AA188:AJ188)</f>
      </c>
      <c r="AV188" s="4">
        <f>AU188-BE188</f>
      </c>
      <c r="AW188" s="4">
        <f>AV188-BF188</f>
      </c>
      <c r="AX188" s="4">
        <f>AW188-BG188</f>
      </c>
      <c r="AY188" s="4">
        <f>AX188-BH188</f>
      </c>
      <c r="AZ188" s="4">
        <f>AY188-BI188</f>
      </c>
      <c r="BA188" s="4">
        <f>AZ188-BJ188</f>
      </c>
      <c r="BB188" s="4">
        <f>BA188-BK188</f>
      </c>
      <c r="BC188" s="4">
        <f>BB188-BL188</f>
      </c>
      <c r="BD188" s="4">
        <f>BC188-BM188</f>
      </c>
      <c r="BE188" s="4">
        <f>IF(G187&lt;=0,0,MIN(AU188,AK188))</f>
      </c>
      <c r="BF188" s="4">
        <f>IF(H187&lt;=0,0,MIN(AV188,AL188))</f>
      </c>
      <c r="BG188" s="4">
        <f>IF(I187&lt;=0,0,MIN(AW188,AM188))</f>
      </c>
      <c r="BH188" s="4">
        <f>IF(J187&lt;=0,0,MIN(AX188,AN188))</f>
      </c>
      <c r="BI188" s="4">
        <f>IF(K187&lt;=0,0,MIN(AY188,AO188))</f>
      </c>
      <c r="BJ188" s="4">
        <f>IF(L187&lt;=0,0,MIN(AZ188,AP188))</f>
      </c>
      <c r="BK188" s="4">
        <f>IF(M187&lt;=0,0,MIN(BA188,AQ188))</f>
      </c>
      <c r="BL188" s="4">
        <f>IF(N187&lt;=0,0,MIN(BB188,AR188))</f>
      </c>
      <c r="BM188" s="4">
        <f>IF(O187&lt;=0,0,MIN(BC188,AS188))</f>
      </c>
      <c r="BN188" s="4">
        <f>IF(P187&lt;=0,0,MIN(BD188,AT188))</f>
      </c>
    </row>
    <row r="189" spans="1:66" x14ac:dyDescent="0.25">
      <c r="A189">
        <v>162</v>
      </c>
      <c r="B189" s="7">
        <f>EDATE($B$17,162)</f>
      </c>
      <c r="C189" s="4">
        <f>SUM(G189:P189)</f>
      </c>
      <c r="D189" s="4">
        <f>SUM(Q189:Z189)</f>
      </c>
      <c r="E189" s="4">
        <f>SUM(AA189:AJ189)+SUM(BE189:BN189)</f>
      </c>
      <c r="G189" s="4">
        <f>MAX(0,AK189-BE189)</f>
      </c>
      <c r="H189" s="4">
        <f>MAX(0,AL189-BF189)</f>
      </c>
      <c r="I189" s="4">
        <f>MAX(0,AM189-BG189)</f>
      </c>
      <c r="J189" s="4">
        <f>MAX(0,AN189-BH189)</f>
      </c>
      <c r="K189" s="4">
        <f>MAX(0,AO189-BI189)</f>
      </c>
      <c r="L189" s="4">
        <f>MAX(0,AP189-BJ189)</f>
      </c>
      <c r="M189" s="4">
        <f>MAX(0,AQ189-BK189)</f>
      </c>
      <c r="N189" s="4">
        <f>MAX(0,AR189-BL189)</f>
      </c>
      <c r="O189" s="4">
        <f>MAX(0,AS189-BM189)</f>
      </c>
      <c r="P189" s="4">
        <f>MAX(0,AT189-BN189)</f>
      </c>
      <c r="Q189" s="4">
        <f>IF(G188&gt;0,G188*($J$5/100/12),0)</f>
      </c>
      <c r="R189" s="4">
        <f>IF(H188&gt;0,H188*($J$6/100/12),0)</f>
      </c>
      <c r="S189" s="4">
        <f>IF(I188&gt;0,I188*($J$7/100/12),0)</f>
      </c>
      <c r="T189" s="4">
        <f>IF(J188&gt;0,J188*($J$8/100/12),0)</f>
      </c>
      <c r="U189" s="4">
        <f>IF(K188&gt;0,K188*($J$9/100/12),0)</f>
      </c>
      <c r="V189" s="4">
        <f>IF(L188&gt;0,L188*($J$10/100/12),0)</f>
      </c>
      <c r="W189" s="4">
        <f>IF(M188&gt;0,M188*($J$11/100/12),0)</f>
      </c>
      <c r="X189" s="4">
        <f>IF(N188&gt;0,N188*($J$12/100/12),0)</f>
      </c>
      <c r="Y189" s="4">
        <f>IF(O188&gt;0,O188*($J$13/100/12),0)</f>
      </c>
      <c r="Z189" s="4">
        <f>IF(P188&gt;0,P188*($J$14/100/12),0)</f>
      </c>
      <c r="AA189" s="4">
        <f>IF(G188&lt;=0,0,MIN($K$5,(G188+Q189)))</f>
      </c>
      <c r="AB189" s="4">
        <f>IF(H188&lt;=0,0,MIN($K$6,(H188+R189)))</f>
      </c>
      <c r="AC189" s="4">
        <f>IF(I188&lt;=0,0,MIN($K$7,(I188+S189)))</f>
      </c>
      <c r="AD189" s="4">
        <f>IF(J188&lt;=0,0,MIN($K$8,(J188+T189)))</f>
      </c>
      <c r="AE189" s="4">
        <f>IF(K188&lt;=0,0,MIN($K$9,(K188+U189)))</f>
      </c>
      <c r="AF189" s="4">
        <f>IF(L188&lt;=0,0,MIN($K$10,(L188+V189)))</f>
      </c>
      <c r="AG189" s="4">
        <f>IF(M188&lt;=0,0,MIN($K$11,(M188+W189)))</f>
      </c>
      <c r="AH189" s="4">
        <f>IF(N188&lt;=0,0,MIN($K$12,(N188+X189)))</f>
      </c>
      <c r="AI189" s="4">
        <f>IF(O188&lt;=0,0,MIN($K$13,(O188+Y189)))</f>
      </c>
      <c r="AJ189" s="4">
        <f>IF(P188&lt;=0,0,MIN($K$14,(P188+Z189)))</f>
      </c>
      <c r="AK189" s="4">
        <f>(G188+Q189)-AA189</f>
      </c>
      <c r="AL189" s="4">
        <f>(H188+R189)-AB189</f>
      </c>
      <c r="AM189" s="4">
        <f>(I188+S189)-AC189</f>
      </c>
      <c r="AN189" s="4">
        <f>(J188+T189)-AD189</f>
      </c>
      <c r="AO189" s="4">
        <f>(K188+U189)-AE189</f>
      </c>
      <c r="AP189" s="4">
        <f>(L188+V189)-AF189</f>
      </c>
      <c r="AQ189" s="4">
        <f>(M188+W189)-AG189</f>
      </c>
      <c r="AR189" s="4">
        <f>(N188+X189)-AH189</f>
      </c>
      <c r="AS189" s="4">
        <f>(O188+Y189)-AI189</f>
      </c>
      <c r="AT189" s="4">
        <f>(P188+Z189)-AJ189</f>
      </c>
      <c r="AU189" s="4">
        <f>$B$16+SUM($K$5:$K$14)-SUM(AA189:AJ189)</f>
      </c>
      <c r="AV189" s="4">
        <f>AU189-BE189</f>
      </c>
      <c r="AW189" s="4">
        <f>AV189-BF189</f>
      </c>
      <c r="AX189" s="4">
        <f>AW189-BG189</f>
      </c>
      <c r="AY189" s="4">
        <f>AX189-BH189</f>
      </c>
      <c r="AZ189" s="4">
        <f>AY189-BI189</f>
      </c>
      <c r="BA189" s="4">
        <f>AZ189-BJ189</f>
      </c>
      <c r="BB189" s="4">
        <f>BA189-BK189</f>
      </c>
      <c r="BC189" s="4">
        <f>BB189-BL189</f>
      </c>
      <c r="BD189" s="4">
        <f>BC189-BM189</f>
      </c>
      <c r="BE189" s="4">
        <f>IF(G188&lt;=0,0,MIN(AU189,AK189))</f>
      </c>
      <c r="BF189" s="4">
        <f>IF(H188&lt;=0,0,MIN(AV189,AL189))</f>
      </c>
      <c r="BG189" s="4">
        <f>IF(I188&lt;=0,0,MIN(AW189,AM189))</f>
      </c>
      <c r="BH189" s="4">
        <f>IF(J188&lt;=0,0,MIN(AX189,AN189))</f>
      </c>
      <c r="BI189" s="4">
        <f>IF(K188&lt;=0,0,MIN(AY189,AO189))</f>
      </c>
      <c r="BJ189" s="4">
        <f>IF(L188&lt;=0,0,MIN(AZ189,AP189))</f>
      </c>
      <c r="BK189" s="4">
        <f>IF(M188&lt;=0,0,MIN(BA189,AQ189))</f>
      </c>
      <c r="BL189" s="4">
        <f>IF(N188&lt;=0,0,MIN(BB189,AR189))</f>
      </c>
      <c r="BM189" s="4">
        <f>IF(O188&lt;=0,0,MIN(BC189,AS189))</f>
      </c>
      <c r="BN189" s="4">
        <f>IF(P188&lt;=0,0,MIN(BD189,AT189))</f>
      </c>
    </row>
    <row r="190" spans="1:66" x14ac:dyDescent="0.25">
      <c r="A190">
        <v>163</v>
      </c>
      <c r="B190" s="7">
        <f>EDATE($B$17,163)</f>
      </c>
      <c r="C190" s="4">
        <f>SUM(G190:P190)</f>
      </c>
      <c r="D190" s="4">
        <f>SUM(Q190:Z190)</f>
      </c>
      <c r="E190" s="4">
        <f>SUM(AA190:AJ190)+SUM(BE190:BN190)</f>
      </c>
      <c r="G190" s="4">
        <f>MAX(0,AK190-BE190)</f>
      </c>
      <c r="H190" s="4">
        <f>MAX(0,AL190-BF190)</f>
      </c>
      <c r="I190" s="4">
        <f>MAX(0,AM190-BG190)</f>
      </c>
      <c r="J190" s="4">
        <f>MAX(0,AN190-BH190)</f>
      </c>
      <c r="K190" s="4">
        <f>MAX(0,AO190-BI190)</f>
      </c>
      <c r="L190" s="4">
        <f>MAX(0,AP190-BJ190)</f>
      </c>
      <c r="M190" s="4">
        <f>MAX(0,AQ190-BK190)</f>
      </c>
      <c r="N190" s="4">
        <f>MAX(0,AR190-BL190)</f>
      </c>
      <c r="O190" s="4">
        <f>MAX(0,AS190-BM190)</f>
      </c>
      <c r="P190" s="4">
        <f>MAX(0,AT190-BN190)</f>
      </c>
      <c r="Q190" s="4">
        <f>IF(G189&gt;0,G189*($J$5/100/12),0)</f>
      </c>
      <c r="R190" s="4">
        <f>IF(H189&gt;0,H189*($J$6/100/12),0)</f>
      </c>
      <c r="S190" s="4">
        <f>IF(I189&gt;0,I189*($J$7/100/12),0)</f>
      </c>
      <c r="T190" s="4">
        <f>IF(J189&gt;0,J189*($J$8/100/12),0)</f>
      </c>
      <c r="U190" s="4">
        <f>IF(K189&gt;0,K189*($J$9/100/12),0)</f>
      </c>
      <c r="V190" s="4">
        <f>IF(L189&gt;0,L189*($J$10/100/12),0)</f>
      </c>
      <c r="W190" s="4">
        <f>IF(M189&gt;0,M189*($J$11/100/12),0)</f>
      </c>
      <c r="X190" s="4">
        <f>IF(N189&gt;0,N189*($J$12/100/12),0)</f>
      </c>
      <c r="Y190" s="4">
        <f>IF(O189&gt;0,O189*($J$13/100/12),0)</f>
      </c>
      <c r="Z190" s="4">
        <f>IF(P189&gt;0,P189*($J$14/100/12),0)</f>
      </c>
      <c r="AA190" s="4">
        <f>IF(G189&lt;=0,0,MIN($K$5,(G189+Q190)))</f>
      </c>
      <c r="AB190" s="4">
        <f>IF(H189&lt;=0,0,MIN($K$6,(H189+R190)))</f>
      </c>
      <c r="AC190" s="4">
        <f>IF(I189&lt;=0,0,MIN($K$7,(I189+S190)))</f>
      </c>
      <c r="AD190" s="4">
        <f>IF(J189&lt;=0,0,MIN($K$8,(J189+T190)))</f>
      </c>
      <c r="AE190" s="4">
        <f>IF(K189&lt;=0,0,MIN($K$9,(K189+U190)))</f>
      </c>
      <c r="AF190" s="4">
        <f>IF(L189&lt;=0,0,MIN($K$10,(L189+V190)))</f>
      </c>
      <c r="AG190" s="4">
        <f>IF(M189&lt;=0,0,MIN($K$11,(M189+W190)))</f>
      </c>
      <c r="AH190" s="4">
        <f>IF(N189&lt;=0,0,MIN($K$12,(N189+X190)))</f>
      </c>
      <c r="AI190" s="4">
        <f>IF(O189&lt;=0,0,MIN($K$13,(O189+Y190)))</f>
      </c>
      <c r="AJ190" s="4">
        <f>IF(P189&lt;=0,0,MIN($K$14,(P189+Z190)))</f>
      </c>
      <c r="AK190" s="4">
        <f>(G189+Q190)-AA190</f>
      </c>
      <c r="AL190" s="4">
        <f>(H189+R190)-AB190</f>
      </c>
      <c r="AM190" s="4">
        <f>(I189+S190)-AC190</f>
      </c>
      <c r="AN190" s="4">
        <f>(J189+T190)-AD190</f>
      </c>
      <c r="AO190" s="4">
        <f>(K189+U190)-AE190</f>
      </c>
      <c r="AP190" s="4">
        <f>(L189+V190)-AF190</f>
      </c>
      <c r="AQ190" s="4">
        <f>(M189+W190)-AG190</f>
      </c>
      <c r="AR190" s="4">
        <f>(N189+X190)-AH190</f>
      </c>
      <c r="AS190" s="4">
        <f>(O189+Y190)-AI190</f>
      </c>
      <c r="AT190" s="4">
        <f>(P189+Z190)-AJ190</f>
      </c>
      <c r="AU190" s="4">
        <f>$B$16+SUM($K$5:$K$14)-SUM(AA190:AJ190)</f>
      </c>
      <c r="AV190" s="4">
        <f>AU190-BE190</f>
      </c>
      <c r="AW190" s="4">
        <f>AV190-BF190</f>
      </c>
      <c r="AX190" s="4">
        <f>AW190-BG190</f>
      </c>
      <c r="AY190" s="4">
        <f>AX190-BH190</f>
      </c>
      <c r="AZ190" s="4">
        <f>AY190-BI190</f>
      </c>
      <c r="BA190" s="4">
        <f>AZ190-BJ190</f>
      </c>
      <c r="BB190" s="4">
        <f>BA190-BK190</f>
      </c>
      <c r="BC190" s="4">
        <f>BB190-BL190</f>
      </c>
      <c r="BD190" s="4">
        <f>BC190-BM190</f>
      </c>
      <c r="BE190" s="4">
        <f>IF(G189&lt;=0,0,MIN(AU190,AK190))</f>
      </c>
      <c r="BF190" s="4">
        <f>IF(H189&lt;=0,0,MIN(AV190,AL190))</f>
      </c>
      <c r="BG190" s="4">
        <f>IF(I189&lt;=0,0,MIN(AW190,AM190))</f>
      </c>
      <c r="BH190" s="4">
        <f>IF(J189&lt;=0,0,MIN(AX190,AN190))</f>
      </c>
      <c r="BI190" s="4">
        <f>IF(K189&lt;=0,0,MIN(AY190,AO190))</f>
      </c>
      <c r="BJ190" s="4">
        <f>IF(L189&lt;=0,0,MIN(AZ190,AP190))</f>
      </c>
      <c r="BK190" s="4">
        <f>IF(M189&lt;=0,0,MIN(BA190,AQ190))</f>
      </c>
      <c r="BL190" s="4">
        <f>IF(N189&lt;=0,0,MIN(BB190,AR190))</f>
      </c>
      <c r="BM190" s="4">
        <f>IF(O189&lt;=0,0,MIN(BC190,AS190))</f>
      </c>
      <c r="BN190" s="4">
        <f>IF(P189&lt;=0,0,MIN(BD190,AT190))</f>
      </c>
    </row>
    <row r="191" spans="1:66" x14ac:dyDescent="0.25">
      <c r="A191">
        <v>164</v>
      </c>
      <c r="B191" s="7">
        <f>EDATE($B$17,164)</f>
      </c>
      <c r="C191" s="4">
        <f>SUM(G191:P191)</f>
      </c>
      <c r="D191" s="4">
        <f>SUM(Q191:Z191)</f>
      </c>
      <c r="E191" s="4">
        <f>SUM(AA191:AJ191)+SUM(BE191:BN191)</f>
      </c>
      <c r="G191" s="4">
        <f>MAX(0,AK191-BE191)</f>
      </c>
      <c r="H191" s="4">
        <f>MAX(0,AL191-BF191)</f>
      </c>
      <c r="I191" s="4">
        <f>MAX(0,AM191-BG191)</f>
      </c>
      <c r="J191" s="4">
        <f>MAX(0,AN191-BH191)</f>
      </c>
      <c r="K191" s="4">
        <f>MAX(0,AO191-BI191)</f>
      </c>
      <c r="L191" s="4">
        <f>MAX(0,AP191-BJ191)</f>
      </c>
      <c r="M191" s="4">
        <f>MAX(0,AQ191-BK191)</f>
      </c>
      <c r="N191" s="4">
        <f>MAX(0,AR191-BL191)</f>
      </c>
      <c r="O191" s="4">
        <f>MAX(0,AS191-BM191)</f>
      </c>
      <c r="P191" s="4">
        <f>MAX(0,AT191-BN191)</f>
      </c>
      <c r="Q191" s="4">
        <f>IF(G190&gt;0,G190*($J$5/100/12),0)</f>
      </c>
      <c r="R191" s="4">
        <f>IF(H190&gt;0,H190*($J$6/100/12),0)</f>
      </c>
      <c r="S191" s="4">
        <f>IF(I190&gt;0,I190*($J$7/100/12),0)</f>
      </c>
      <c r="T191" s="4">
        <f>IF(J190&gt;0,J190*($J$8/100/12),0)</f>
      </c>
      <c r="U191" s="4">
        <f>IF(K190&gt;0,K190*($J$9/100/12),0)</f>
      </c>
      <c r="V191" s="4">
        <f>IF(L190&gt;0,L190*($J$10/100/12),0)</f>
      </c>
      <c r="W191" s="4">
        <f>IF(M190&gt;0,M190*($J$11/100/12),0)</f>
      </c>
      <c r="X191" s="4">
        <f>IF(N190&gt;0,N190*($J$12/100/12),0)</f>
      </c>
      <c r="Y191" s="4">
        <f>IF(O190&gt;0,O190*($J$13/100/12),0)</f>
      </c>
      <c r="Z191" s="4">
        <f>IF(P190&gt;0,P190*($J$14/100/12),0)</f>
      </c>
      <c r="AA191" s="4">
        <f>IF(G190&lt;=0,0,MIN($K$5,(G190+Q191)))</f>
      </c>
      <c r="AB191" s="4">
        <f>IF(H190&lt;=0,0,MIN($K$6,(H190+R191)))</f>
      </c>
      <c r="AC191" s="4">
        <f>IF(I190&lt;=0,0,MIN($K$7,(I190+S191)))</f>
      </c>
      <c r="AD191" s="4">
        <f>IF(J190&lt;=0,0,MIN($K$8,(J190+T191)))</f>
      </c>
      <c r="AE191" s="4">
        <f>IF(K190&lt;=0,0,MIN($K$9,(K190+U191)))</f>
      </c>
      <c r="AF191" s="4">
        <f>IF(L190&lt;=0,0,MIN($K$10,(L190+V191)))</f>
      </c>
      <c r="AG191" s="4">
        <f>IF(M190&lt;=0,0,MIN($K$11,(M190+W191)))</f>
      </c>
      <c r="AH191" s="4">
        <f>IF(N190&lt;=0,0,MIN($K$12,(N190+X191)))</f>
      </c>
      <c r="AI191" s="4">
        <f>IF(O190&lt;=0,0,MIN($K$13,(O190+Y191)))</f>
      </c>
      <c r="AJ191" s="4">
        <f>IF(P190&lt;=0,0,MIN($K$14,(P190+Z191)))</f>
      </c>
      <c r="AK191" s="4">
        <f>(G190+Q191)-AA191</f>
      </c>
      <c r="AL191" s="4">
        <f>(H190+R191)-AB191</f>
      </c>
      <c r="AM191" s="4">
        <f>(I190+S191)-AC191</f>
      </c>
      <c r="AN191" s="4">
        <f>(J190+T191)-AD191</f>
      </c>
      <c r="AO191" s="4">
        <f>(K190+U191)-AE191</f>
      </c>
      <c r="AP191" s="4">
        <f>(L190+V191)-AF191</f>
      </c>
      <c r="AQ191" s="4">
        <f>(M190+W191)-AG191</f>
      </c>
      <c r="AR191" s="4">
        <f>(N190+X191)-AH191</f>
      </c>
      <c r="AS191" s="4">
        <f>(O190+Y191)-AI191</f>
      </c>
      <c r="AT191" s="4">
        <f>(P190+Z191)-AJ191</f>
      </c>
      <c r="AU191" s="4">
        <f>$B$16+SUM($K$5:$K$14)-SUM(AA191:AJ191)</f>
      </c>
      <c r="AV191" s="4">
        <f>AU191-BE191</f>
      </c>
      <c r="AW191" s="4">
        <f>AV191-BF191</f>
      </c>
      <c r="AX191" s="4">
        <f>AW191-BG191</f>
      </c>
      <c r="AY191" s="4">
        <f>AX191-BH191</f>
      </c>
      <c r="AZ191" s="4">
        <f>AY191-BI191</f>
      </c>
      <c r="BA191" s="4">
        <f>AZ191-BJ191</f>
      </c>
      <c r="BB191" s="4">
        <f>BA191-BK191</f>
      </c>
      <c r="BC191" s="4">
        <f>BB191-BL191</f>
      </c>
      <c r="BD191" s="4">
        <f>BC191-BM191</f>
      </c>
      <c r="BE191" s="4">
        <f>IF(G190&lt;=0,0,MIN(AU191,AK191))</f>
      </c>
      <c r="BF191" s="4">
        <f>IF(H190&lt;=0,0,MIN(AV191,AL191))</f>
      </c>
      <c r="BG191" s="4">
        <f>IF(I190&lt;=0,0,MIN(AW191,AM191))</f>
      </c>
      <c r="BH191" s="4">
        <f>IF(J190&lt;=0,0,MIN(AX191,AN191))</f>
      </c>
      <c r="BI191" s="4">
        <f>IF(K190&lt;=0,0,MIN(AY191,AO191))</f>
      </c>
      <c r="BJ191" s="4">
        <f>IF(L190&lt;=0,0,MIN(AZ191,AP191))</f>
      </c>
      <c r="BK191" s="4">
        <f>IF(M190&lt;=0,0,MIN(BA191,AQ191))</f>
      </c>
      <c r="BL191" s="4">
        <f>IF(N190&lt;=0,0,MIN(BB191,AR191))</f>
      </c>
      <c r="BM191" s="4">
        <f>IF(O190&lt;=0,0,MIN(BC191,AS191))</f>
      </c>
      <c r="BN191" s="4">
        <f>IF(P190&lt;=0,0,MIN(BD191,AT191))</f>
      </c>
    </row>
    <row r="192" spans="1:66" x14ac:dyDescent="0.25">
      <c r="A192">
        <v>165</v>
      </c>
      <c r="B192" s="7">
        <f>EDATE($B$17,165)</f>
      </c>
      <c r="C192" s="4">
        <f>SUM(G192:P192)</f>
      </c>
      <c r="D192" s="4">
        <f>SUM(Q192:Z192)</f>
      </c>
      <c r="E192" s="4">
        <f>SUM(AA192:AJ192)+SUM(BE192:BN192)</f>
      </c>
      <c r="G192" s="4">
        <f>MAX(0,AK192-BE192)</f>
      </c>
      <c r="H192" s="4">
        <f>MAX(0,AL192-BF192)</f>
      </c>
      <c r="I192" s="4">
        <f>MAX(0,AM192-BG192)</f>
      </c>
      <c r="J192" s="4">
        <f>MAX(0,AN192-BH192)</f>
      </c>
      <c r="K192" s="4">
        <f>MAX(0,AO192-BI192)</f>
      </c>
      <c r="L192" s="4">
        <f>MAX(0,AP192-BJ192)</f>
      </c>
      <c r="M192" s="4">
        <f>MAX(0,AQ192-BK192)</f>
      </c>
      <c r="N192" s="4">
        <f>MAX(0,AR192-BL192)</f>
      </c>
      <c r="O192" s="4">
        <f>MAX(0,AS192-BM192)</f>
      </c>
      <c r="P192" s="4">
        <f>MAX(0,AT192-BN192)</f>
      </c>
      <c r="Q192" s="4">
        <f>IF(G191&gt;0,G191*($J$5/100/12),0)</f>
      </c>
      <c r="R192" s="4">
        <f>IF(H191&gt;0,H191*($J$6/100/12),0)</f>
      </c>
      <c r="S192" s="4">
        <f>IF(I191&gt;0,I191*($J$7/100/12),0)</f>
      </c>
      <c r="T192" s="4">
        <f>IF(J191&gt;0,J191*($J$8/100/12),0)</f>
      </c>
      <c r="U192" s="4">
        <f>IF(K191&gt;0,K191*($J$9/100/12),0)</f>
      </c>
      <c r="V192" s="4">
        <f>IF(L191&gt;0,L191*($J$10/100/12),0)</f>
      </c>
      <c r="W192" s="4">
        <f>IF(M191&gt;0,M191*($J$11/100/12),0)</f>
      </c>
      <c r="X192" s="4">
        <f>IF(N191&gt;0,N191*($J$12/100/12),0)</f>
      </c>
      <c r="Y192" s="4">
        <f>IF(O191&gt;0,O191*($J$13/100/12),0)</f>
      </c>
      <c r="Z192" s="4">
        <f>IF(P191&gt;0,P191*($J$14/100/12),0)</f>
      </c>
      <c r="AA192" s="4">
        <f>IF(G191&lt;=0,0,MIN($K$5,(G191+Q192)))</f>
      </c>
      <c r="AB192" s="4">
        <f>IF(H191&lt;=0,0,MIN($K$6,(H191+R192)))</f>
      </c>
      <c r="AC192" s="4">
        <f>IF(I191&lt;=0,0,MIN($K$7,(I191+S192)))</f>
      </c>
      <c r="AD192" s="4">
        <f>IF(J191&lt;=0,0,MIN($K$8,(J191+T192)))</f>
      </c>
      <c r="AE192" s="4">
        <f>IF(K191&lt;=0,0,MIN($K$9,(K191+U192)))</f>
      </c>
      <c r="AF192" s="4">
        <f>IF(L191&lt;=0,0,MIN($K$10,(L191+V192)))</f>
      </c>
      <c r="AG192" s="4">
        <f>IF(M191&lt;=0,0,MIN($K$11,(M191+W192)))</f>
      </c>
      <c r="AH192" s="4">
        <f>IF(N191&lt;=0,0,MIN($K$12,(N191+X192)))</f>
      </c>
      <c r="AI192" s="4">
        <f>IF(O191&lt;=0,0,MIN($K$13,(O191+Y192)))</f>
      </c>
      <c r="AJ192" s="4">
        <f>IF(P191&lt;=0,0,MIN($K$14,(P191+Z192)))</f>
      </c>
      <c r="AK192" s="4">
        <f>(G191+Q192)-AA192</f>
      </c>
      <c r="AL192" s="4">
        <f>(H191+R192)-AB192</f>
      </c>
      <c r="AM192" s="4">
        <f>(I191+S192)-AC192</f>
      </c>
      <c r="AN192" s="4">
        <f>(J191+T192)-AD192</f>
      </c>
      <c r="AO192" s="4">
        <f>(K191+U192)-AE192</f>
      </c>
      <c r="AP192" s="4">
        <f>(L191+V192)-AF192</f>
      </c>
      <c r="AQ192" s="4">
        <f>(M191+W192)-AG192</f>
      </c>
      <c r="AR192" s="4">
        <f>(N191+X192)-AH192</f>
      </c>
      <c r="AS192" s="4">
        <f>(O191+Y192)-AI192</f>
      </c>
      <c r="AT192" s="4">
        <f>(P191+Z192)-AJ192</f>
      </c>
      <c r="AU192" s="4">
        <f>$B$16+SUM($K$5:$K$14)-SUM(AA192:AJ192)</f>
      </c>
      <c r="AV192" s="4">
        <f>AU192-BE192</f>
      </c>
      <c r="AW192" s="4">
        <f>AV192-BF192</f>
      </c>
      <c r="AX192" s="4">
        <f>AW192-BG192</f>
      </c>
      <c r="AY192" s="4">
        <f>AX192-BH192</f>
      </c>
      <c r="AZ192" s="4">
        <f>AY192-BI192</f>
      </c>
      <c r="BA192" s="4">
        <f>AZ192-BJ192</f>
      </c>
      <c r="BB192" s="4">
        <f>BA192-BK192</f>
      </c>
      <c r="BC192" s="4">
        <f>BB192-BL192</f>
      </c>
      <c r="BD192" s="4">
        <f>BC192-BM192</f>
      </c>
      <c r="BE192" s="4">
        <f>IF(G191&lt;=0,0,MIN(AU192,AK192))</f>
      </c>
      <c r="BF192" s="4">
        <f>IF(H191&lt;=0,0,MIN(AV192,AL192))</f>
      </c>
      <c r="BG192" s="4">
        <f>IF(I191&lt;=0,0,MIN(AW192,AM192))</f>
      </c>
      <c r="BH192" s="4">
        <f>IF(J191&lt;=0,0,MIN(AX192,AN192))</f>
      </c>
      <c r="BI192" s="4">
        <f>IF(K191&lt;=0,0,MIN(AY192,AO192))</f>
      </c>
      <c r="BJ192" s="4">
        <f>IF(L191&lt;=0,0,MIN(AZ192,AP192))</f>
      </c>
      <c r="BK192" s="4">
        <f>IF(M191&lt;=0,0,MIN(BA192,AQ192))</f>
      </c>
      <c r="BL192" s="4">
        <f>IF(N191&lt;=0,0,MIN(BB192,AR192))</f>
      </c>
      <c r="BM192" s="4">
        <f>IF(O191&lt;=0,0,MIN(BC192,AS192))</f>
      </c>
      <c r="BN192" s="4">
        <f>IF(P191&lt;=0,0,MIN(BD192,AT192))</f>
      </c>
    </row>
    <row r="193" spans="1:66" x14ac:dyDescent="0.25">
      <c r="A193">
        <v>166</v>
      </c>
      <c r="B193" s="7">
        <f>EDATE($B$17,166)</f>
      </c>
      <c r="C193" s="4">
        <f>SUM(G193:P193)</f>
      </c>
      <c r="D193" s="4">
        <f>SUM(Q193:Z193)</f>
      </c>
      <c r="E193" s="4">
        <f>SUM(AA193:AJ193)+SUM(BE193:BN193)</f>
      </c>
      <c r="G193" s="4">
        <f>MAX(0,AK193-BE193)</f>
      </c>
      <c r="H193" s="4">
        <f>MAX(0,AL193-BF193)</f>
      </c>
      <c r="I193" s="4">
        <f>MAX(0,AM193-BG193)</f>
      </c>
      <c r="J193" s="4">
        <f>MAX(0,AN193-BH193)</f>
      </c>
      <c r="K193" s="4">
        <f>MAX(0,AO193-BI193)</f>
      </c>
      <c r="L193" s="4">
        <f>MAX(0,AP193-BJ193)</f>
      </c>
      <c r="M193" s="4">
        <f>MAX(0,AQ193-BK193)</f>
      </c>
      <c r="N193" s="4">
        <f>MAX(0,AR193-BL193)</f>
      </c>
      <c r="O193" s="4">
        <f>MAX(0,AS193-BM193)</f>
      </c>
      <c r="P193" s="4">
        <f>MAX(0,AT193-BN193)</f>
      </c>
      <c r="Q193" s="4">
        <f>IF(G192&gt;0,G192*($J$5/100/12),0)</f>
      </c>
      <c r="R193" s="4">
        <f>IF(H192&gt;0,H192*($J$6/100/12),0)</f>
      </c>
      <c r="S193" s="4">
        <f>IF(I192&gt;0,I192*($J$7/100/12),0)</f>
      </c>
      <c r="T193" s="4">
        <f>IF(J192&gt;0,J192*($J$8/100/12),0)</f>
      </c>
      <c r="U193" s="4">
        <f>IF(K192&gt;0,K192*($J$9/100/12),0)</f>
      </c>
      <c r="V193" s="4">
        <f>IF(L192&gt;0,L192*($J$10/100/12),0)</f>
      </c>
      <c r="W193" s="4">
        <f>IF(M192&gt;0,M192*($J$11/100/12),0)</f>
      </c>
      <c r="X193" s="4">
        <f>IF(N192&gt;0,N192*($J$12/100/12),0)</f>
      </c>
      <c r="Y193" s="4">
        <f>IF(O192&gt;0,O192*($J$13/100/12),0)</f>
      </c>
      <c r="Z193" s="4">
        <f>IF(P192&gt;0,P192*($J$14/100/12),0)</f>
      </c>
      <c r="AA193" s="4">
        <f>IF(G192&lt;=0,0,MIN($K$5,(G192+Q193)))</f>
      </c>
      <c r="AB193" s="4">
        <f>IF(H192&lt;=0,0,MIN($K$6,(H192+R193)))</f>
      </c>
      <c r="AC193" s="4">
        <f>IF(I192&lt;=0,0,MIN($K$7,(I192+S193)))</f>
      </c>
      <c r="AD193" s="4">
        <f>IF(J192&lt;=0,0,MIN($K$8,(J192+T193)))</f>
      </c>
      <c r="AE193" s="4">
        <f>IF(K192&lt;=0,0,MIN($K$9,(K192+U193)))</f>
      </c>
      <c r="AF193" s="4">
        <f>IF(L192&lt;=0,0,MIN($K$10,(L192+V193)))</f>
      </c>
      <c r="AG193" s="4">
        <f>IF(M192&lt;=0,0,MIN($K$11,(M192+W193)))</f>
      </c>
      <c r="AH193" s="4">
        <f>IF(N192&lt;=0,0,MIN($K$12,(N192+X193)))</f>
      </c>
      <c r="AI193" s="4">
        <f>IF(O192&lt;=0,0,MIN($K$13,(O192+Y193)))</f>
      </c>
      <c r="AJ193" s="4">
        <f>IF(P192&lt;=0,0,MIN($K$14,(P192+Z193)))</f>
      </c>
      <c r="AK193" s="4">
        <f>(G192+Q193)-AA193</f>
      </c>
      <c r="AL193" s="4">
        <f>(H192+R193)-AB193</f>
      </c>
      <c r="AM193" s="4">
        <f>(I192+S193)-AC193</f>
      </c>
      <c r="AN193" s="4">
        <f>(J192+T193)-AD193</f>
      </c>
      <c r="AO193" s="4">
        <f>(K192+U193)-AE193</f>
      </c>
      <c r="AP193" s="4">
        <f>(L192+V193)-AF193</f>
      </c>
      <c r="AQ193" s="4">
        <f>(M192+W193)-AG193</f>
      </c>
      <c r="AR193" s="4">
        <f>(N192+X193)-AH193</f>
      </c>
      <c r="AS193" s="4">
        <f>(O192+Y193)-AI193</f>
      </c>
      <c r="AT193" s="4">
        <f>(P192+Z193)-AJ193</f>
      </c>
      <c r="AU193" s="4">
        <f>$B$16+SUM($K$5:$K$14)-SUM(AA193:AJ193)</f>
      </c>
      <c r="AV193" s="4">
        <f>AU193-BE193</f>
      </c>
      <c r="AW193" s="4">
        <f>AV193-BF193</f>
      </c>
      <c r="AX193" s="4">
        <f>AW193-BG193</f>
      </c>
      <c r="AY193" s="4">
        <f>AX193-BH193</f>
      </c>
      <c r="AZ193" s="4">
        <f>AY193-BI193</f>
      </c>
      <c r="BA193" s="4">
        <f>AZ193-BJ193</f>
      </c>
      <c r="BB193" s="4">
        <f>BA193-BK193</f>
      </c>
      <c r="BC193" s="4">
        <f>BB193-BL193</f>
      </c>
      <c r="BD193" s="4">
        <f>BC193-BM193</f>
      </c>
      <c r="BE193" s="4">
        <f>IF(G192&lt;=0,0,MIN(AU193,AK193))</f>
      </c>
      <c r="BF193" s="4">
        <f>IF(H192&lt;=0,0,MIN(AV193,AL193))</f>
      </c>
      <c r="BG193" s="4">
        <f>IF(I192&lt;=0,0,MIN(AW193,AM193))</f>
      </c>
      <c r="BH193" s="4">
        <f>IF(J192&lt;=0,0,MIN(AX193,AN193))</f>
      </c>
      <c r="BI193" s="4">
        <f>IF(K192&lt;=0,0,MIN(AY193,AO193))</f>
      </c>
      <c r="BJ193" s="4">
        <f>IF(L192&lt;=0,0,MIN(AZ193,AP193))</f>
      </c>
      <c r="BK193" s="4">
        <f>IF(M192&lt;=0,0,MIN(BA193,AQ193))</f>
      </c>
      <c r="BL193" s="4">
        <f>IF(N192&lt;=0,0,MIN(BB193,AR193))</f>
      </c>
      <c r="BM193" s="4">
        <f>IF(O192&lt;=0,0,MIN(BC193,AS193))</f>
      </c>
      <c r="BN193" s="4">
        <f>IF(P192&lt;=0,0,MIN(BD193,AT193))</f>
      </c>
    </row>
    <row r="194" spans="1:66" x14ac:dyDescent="0.25">
      <c r="A194">
        <v>167</v>
      </c>
      <c r="B194" s="7">
        <f>EDATE($B$17,167)</f>
      </c>
      <c r="C194" s="4">
        <f>SUM(G194:P194)</f>
      </c>
      <c r="D194" s="4">
        <f>SUM(Q194:Z194)</f>
      </c>
      <c r="E194" s="4">
        <f>SUM(AA194:AJ194)+SUM(BE194:BN194)</f>
      </c>
      <c r="G194" s="4">
        <f>MAX(0,AK194-BE194)</f>
      </c>
      <c r="H194" s="4">
        <f>MAX(0,AL194-BF194)</f>
      </c>
      <c r="I194" s="4">
        <f>MAX(0,AM194-BG194)</f>
      </c>
      <c r="J194" s="4">
        <f>MAX(0,AN194-BH194)</f>
      </c>
      <c r="K194" s="4">
        <f>MAX(0,AO194-BI194)</f>
      </c>
      <c r="L194" s="4">
        <f>MAX(0,AP194-BJ194)</f>
      </c>
      <c r="M194" s="4">
        <f>MAX(0,AQ194-BK194)</f>
      </c>
      <c r="N194" s="4">
        <f>MAX(0,AR194-BL194)</f>
      </c>
      <c r="O194" s="4">
        <f>MAX(0,AS194-BM194)</f>
      </c>
      <c r="P194" s="4">
        <f>MAX(0,AT194-BN194)</f>
      </c>
      <c r="Q194" s="4">
        <f>IF(G193&gt;0,G193*($J$5/100/12),0)</f>
      </c>
      <c r="R194" s="4">
        <f>IF(H193&gt;0,H193*($J$6/100/12),0)</f>
      </c>
      <c r="S194" s="4">
        <f>IF(I193&gt;0,I193*($J$7/100/12),0)</f>
      </c>
      <c r="T194" s="4">
        <f>IF(J193&gt;0,J193*($J$8/100/12),0)</f>
      </c>
      <c r="U194" s="4">
        <f>IF(K193&gt;0,K193*($J$9/100/12),0)</f>
      </c>
      <c r="V194" s="4">
        <f>IF(L193&gt;0,L193*($J$10/100/12),0)</f>
      </c>
      <c r="W194" s="4">
        <f>IF(M193&gt;0,M193*($J$11/100/12),0)</f>
      </c>
      <c r="X194" s="4">
        <f>IF(N193&gt;0,N193*($J$12/100/12),0)</f>
      </c>
      <c r="Y194" s="4">
        <f>IF(O193&gt;0,O193*($J$13/100/12),0)</f>
      </c>
      <c r="Z194" s="4">
        <f>IF(P193&gt;0,P193*($J$14/100/12),0)</f>
      </c>
      <c r="AA194" s="4">
        <f>IF(G193&lt;=0,0,MIN($K$5,(G193+Q194)))</f>
      </c>
      <c r="AB194" s="4">
        <f>IF(H193&lt;=0,0,MIN($K$6,(H193+R194)))</f>
      </c>
      <c r="AC194" s="4">
        <f>IF(I193&lt;=0,0,MIN($K$7,(I193+S194)))</f>
      </c>
      <c r="AD194" s="4">
        <f>IF(J193&lt;=0,0,MIN($K$8,(J193+T194)))</f>
      </c>
      <c r="AE194" s="4">
        <f>IF(K193&lt;=0,0,MIN($K$9,(K193+U194)))</f>
      </c>
      <c r="AF194" s="4">
        <f>IF(L193&lt;=0,0,MIN($K$10,(L193+V194)))</f>
      </c>
      <c r="AG194" s="4">
        <f>IF(M193&lt;=0,0,MIN($K$11,(M193+W194)))</f>
      </c>
      <c r="AH194" s="4">
        <f>IF(N193&lt;=0,0,MIN($K$12,(N193+X194)))</f>
      </c>
      <c r="AI194" s="4">
        <f>IF(O193&lt;=0,0,MIN($K$13,(O193+Y194)))</f>
      </c>
      <c r="AJ194" s="4">
        <f>IF(P193&lt;=0,0,MIN($K$14,(P193+Z194)))</f>
      </c>
      <c r="AK194" s="4">
        <f>(G193+Q194)-AA194</f>
      </c>
      <c r="AL194" s="4">
        <f>(H193+R194)-AB194</f>
      </c>
      <c r="AM194" s="4">
        <f>(I193+S194)-AC194</f>
      </c>
      <c r="AN194" s="4">
        <f>(J193+T194)-AD194</f>
      </c>
      <c r="AO194" s="4">
        <f>(K193+U194)-AE194</f>
      </c>
      <c r="AP194" s="4">
        <f>(L193+V194)-AF194</f>
      </c>
      <c r="AQ194" s="4">
        <f>(M193+W194)-AG194</f>
      </c>
      <c r="AR194" s="4">
        <f>(N193+X194)-AH194</f>
      </c>
      <c r="AS194" s="4">
        <f>(O193+Y194)-AI194</f>
      </c>
      <c r="AT194" s="4">
        <f>(P193+Z194)-AJ194</f>
      </c>
      <c r="AU194" s="4">
        <f>$B$16+SUM($K$5:$K$14)-SUM(AA194:AJ194)</f>
      </c>
      <c r="AV194" s="4">
        <f>AU194-BE194</f>
      </c>
      <c r="AW194" s="4">
        <f>AV194-BF194</f>
      </c>
      <c r="AX194" s="4">
        <f>AW194-BG194</f>
      </c>
      <c r="AY194" s="4">
        <f>AX194-BH194</f>
      </c>
      <c r="AZ194" s="4">
        <f>AY194-BI194</f>
      </c>
      <c r="BA194" s="4">
        <f>AZ194-BJ194</f>
      </c>
      <c r="BB194" s="4">
        <f>BA194-BK194</f>
      </c>
      <c r="BC194" s="4">
        <f>BB194-BL194</f>
      </c>
      <c r="BD194" s="4">
        <f>BC194-BM194</f>
      </c>
      <c r="BE194" s="4">
        <f>IF(G193&lt;=0,0,MIN(AU194,AK194))</f>
      </c>
      <c r="BF194" s="4">
        <f>IF(H193&lt;=0,0,MIN(AV194,AL194))</f>
      </c>
      <c r="BG194" s="4">
        <f>IF(I193&lt;=0,0,MIN(AW194,AM194))</f>
      </c>
      <c r="BH194" s="4">
        <f>IF(J193&lt;=0,0,MIN(AX194,AN194))</f>
      </c>
      <c r="BI194" s="4">
        <f>IF(K193&lt;=0,0,MIN(AY194,AO194))</f>
      </c>
      <c r="BJ194" s="4">
        <f>IF(L193&lt;=0,0,MIN(AZ194,AP194))</f>
      </c>
      <c r="BK194" s="4">
        <f>IF(M193&lt;=0,0,MIN(BA194,AQ194))</f>
      </c>
      <c r="BL194" s="4">
        <f>IF(N193&lt;=0,0,MIN(BB194,AR194))</f>
      </c>
      <c r="BM194" s="4">
        <f>IF(O193&lt;=0,0,MIN(BC194,AS194))</f>
      </c>
      <c r="BN194" s="4">
        <f>IF(P193&lt;=0,0,MIN(BD194,AT194))</f>
      </c>
    </row>
    <row r="195" spans="1:66" x14ac:dyDescent="0.25">
      <c r="A195">
        <v>168</v>
      </c>
      <c r="B195" s="7">
        <f>EDATE($B$17,168)</f>
      </c>
      <c r="C195" s="4">
        <f>SUM(G195:P195)</f>
      </c>
      <c r="D195" s="4">
        <f>SUM(Q195:Z195)</f>
      </c>
      <c r="E195" s="4">
        <f>SUM(AA195:AJ195)+SUM(BE195:BN195)</f>
      </c>
      <c r="G195" s="4">
        <f>MAX(0,AK195-BE195)</f>
      </c>
      <c r="H195" s="4">
        <f>MAX(0,AL195-BF195)</f>
      </c>
      <c r="I195" s="4">
        <f>MAX(0,AM195-BG195)</f>
      </c>
      <c r="J195" s="4">
        <f>MAX(0,AN195-BH195)</f>
      </c>
      <c r="K195" s="4">
        <f>MAX(0,AO195-BI195)</f>
      </c>
      <c r="L195" s="4">
        <f>MAX(0,AP195-BJ195)</f>
      </c>
      <c r="M195" s="4">
        <f>MAX(0,AQ195-BK195)</f>
      </c>
      <c r="N195" s="4">
        <f>MAX(0,AR195-BL195)</f>
      </c>
      <c r="O195" s="4">
        <f>MAX(0,AS195-BM195)</f>
      </c>
      <c r="P195" s="4">
        <f>MAX(0,AT195-BN195)</f>
      </c>
      <c r="Q195" s="4">
        <f>IF(G194&gt;0,G194*($J$5/100/12),0)</f>
      </c>
      <c r="R195" s="4">
        <f>IF(H194&gt;0,H194*($J$6/100/12),0)</f>
      </c>
      <c r="S195" s="4">
        <f>IF(I194&gt;0,I194*($J$7/100/12),0)</f>
      </c>
      <c r="T195" s="4">
        <f>IF(J194&gt;0,J194*($J$8/100/12),0)</f>
      </c>
      <c r="U195" s="4">
        <f>IF(K194&gt;0,K194*($J$9/100/12),0)</f>
      </c>
      <c r="V195" s="4">
        <f>IF(L194&gt;0,L194*($J$10/100/12),0)</f>
      </c>
      <c r="W195" s="4">
        <f>IF(M194&gt;0,M194*($J$11/100/12),0)</f>
      </c>
      <c r="X195" s="4">
        <f>IF(N194&gt;0,N194*($J$12/100/12),0)</f>
      </c>
      <c r="Y195" s="4">
        <f>IF(O194&gt;0,O194*($J$13/100/12),0)</f>
      </c>
      <c r="Z195" s="4">
        <f>IF(P194&gt;0,P194*($J$14/100/12),0)</f>
      </c>
      <c r="AA195" s="4">
        <f>IF(G194&lt;=0,0,MIN($K$5,(G194+Q195)))</f>
      </c>
      <c r="AB195" s="4">
        <f>IF(H194&lt;=0,0,MIN($K$6,(H194+R195)))</f>
      </c>
      <c r="AC195" s="4">
        <f>IF(I194&lt;=0,0,MIN($K$7,(I194+S195)))</f>
      </c>
      <c r="AD195" s="4">
        <f>IF(J194&lt;=0,0,MIN($K$8,(J194+T195)))</f>
      </c>
      <c r="AE195" s="4">
        <f>IF(K194&lt;=0,0,MIN($K$9,(K194+U195)))</f>
      </c>
      <c r="AF195" s="4">
        <f>IF(L194&lt;=0,0,MIN($K$10,(L194+V195)))</f>
      </c>
      <c r="AG195" s="4">
        <f>IF(M194&lt;=0,0,MIN($K$11,(M194+W195)))</f>
      </c>
      <c r="AH195" s="4">
        <f>IF(N194&lt;=0,0,MIN($K$12,(N194+X195)))</f>
      </c>
      <c r="AI195" s="4">
        <f>IF(O194&lt;=0,0,MIN($K$13,(O194+Y195)))</f>
      </c>
      <c r="AJ195" s="4">
        <f>IF(P194&lt;=0,0,MIN($K$14,(P194+Z195)))</f>
      </c>
      <c r="AK195" s="4">
        <f>(G194+Q195)-AA195</f>
      </c>
      <c r="AL195" s="4">
        <f>(H194+R195)-AB195</f>
      </c>
      <c r="AM195" s="4">
        <f>(I194+S195)-AC195</f>
      </c>
      <c r="AN195" s="4">
        <f>(J194+T195)-AD195</f>
      </c>
      <c r="AO195" s="4">
        <f>(K194+U195)-AE195</f>
      </c>
      <c r="AP195" s="4">
        <f>(L194+V195)-AF195</f>
      </c>
      <c r="AQ195" s="4">
        <f>(M194+W195)-AG195</f>
      </c>
      <c r="AR195" s="4">
        <f>(N194+X195)-AH195</f>
      </c>
      <c r="AS195" s="4">
        <f>(O194+Y195)-AI195</f>
      </c>
      <c r="AT195" s="4">
        <f>(P194+Z195)-AJ195</f>
      </c>
      <c r="AU195" s="4">
        <f>$B$16+SUM($K$5:$K$14)-SUM(AA195:AJ195)</f>
      </c>
      <c r="AV195" s="4">
        <f>AU195-BE195</f>
      </c>
      <c r="AW195" s="4">
        <f>AV195-BF195</f>
      </c>
      <c r="AX195" s="4">
        <f>AW195-BG195</f>
      </c>
      <c r="AY195" s="4">
        <f>AX195-BH195</f>
      </c>
      <c r="AZ195" s="4">
        <f>AY195-BI195</f>
      </c>
      <c r="BA195" s="4">
        <f>AZ195-BJ195</f>
      </c>
      <c r="BB195" s="4">
        <f>BA195-BK195</f>
      </c>
      <c r="BC195" s="4">
        <f>BB195-BL195</f>
      </c>
      <c r="BD195" s="4">
        <f>BC195-BM195</f>
      </c>
      <c r="BE195" s="4">
        <f>IF(G194&lt;=0,0,MIN(AU195,AK195))</f>
      </c>
      <c r="BF195" s="4">
        <f>IF(H194&lt;=0,0,MIN(AV195,AL195))</f>
      </c>
      <c r="BG195" s="4">
        <f>IF(I194&lt;=0,0,MIN(AW195,AM195))</f>
      </c>
      <c r="BH195" s="4">
        <f>IF(J194&lt;=0,0,MIN(AX195,AN195))</f>
      </c>
      <c r="BI195" s="4">
        <f>IF(K194&lt;=0,0,MIN(AY195,AO195))</f>
      </c>
      <c r="BJ195" s="4">
        <f>IF(L194&lt;=0,0,MIN(AZ195,AP195))</f>
      </c>
      <c r="BK195" s="4">
        <f>IF(M194&lt;=0,0,MIN(BA195,AQ195))</f>
      </c>
      <c r="BL195" s="4">
        <f>IF(N194&lt;=0,0,MIN(BB195,AR195))</f>
      </c>
      <c r="BM195" s="4">
        <f>IF(O194&lt;=0,0,MIN(BC195,AS195))</f>
      </c>
      <c r="BN195" s="4">
        <f>IF(P194&lt;=0,0,MIN(BD195,AT195))</f>
      </c>
    </row>
    <row r="196" spans="1:66" x14ac:dyDescent="0.25">
      <c r="A196">
        <v>169</v>
      </c>
      <c r="B196" s="7">
        <f>EDATE($B$17,169)</f>
      </c>
      <c r="C196" s="4">
        <f>SUM(G196:P196)</f>
      </c>
      <c r="D196" s="4">
        <f>SUM(Q196:Z196)</f>
      </c>
      <c r="E196" s="4">
        <f>SUM(AA196:AJ196)+SUM(BE196:BN196)</f>
      </c>
      <c r="G196" s="4">
        <f>MAX(0,AK196-BE196)</f>
      </c>
      <c r="H196" s="4">
        <f>MAX(0,AL196-BF196)</f>
      </c>
      <c r="I196" s="4">
        <f>MAX(0,AM196-BG196)</f>
      </c>
      <c r="J196" s="4">
        <f>MAX(0,AN196-BH196)</f>
      </c>
      <c r="K196" s="4">
        <f>MAX(0,AO196-BI196)</f>
      </c>
      <c r="L196" s="4">
        <f>MAX(0,AP196-BJ196)</f>
      </c>
      <c r="M196" s="4">
        <f>MAX(0,AQ196-BK196)</f>
      </c>
      <c r="N196" s="4">
        <f>MAX(0,AR196-BL196)</f>
      </c>
      <c r="O196" s="4">
        <f>MAX(0,AS196-BM196)</f>
      </c>
      <c r="P196" s="4">
        <f>MAX(0,AT196-BN196)</f>
      </c>
      <c r="Q196" s="4">
        <f>IF(G195&gt;0,G195*($J$5/100/12),0)</f>
      </c>
      <c r="R196" s="4">
        <f>IF(H195&gt;0,H195*($J$6/100/12),0)</f>
      </c>
      <c r="S196" s="4">
        <f>IF(I195&gt;0,I195*($J$7/100/12),0)</f>
      </c>
      <c r="T196" s="4">
        <f>IF(J195&gt;0,J195*($J$8/100/12),0)</f>
      </c>
      <c r="U196" s="4">
        <f>IF(K195&gt;0,K195*($J$9/100/12),0)</f>
      </c>
      <c r="V196" s="4">
        <f>IF(L195&gt;0,L195*($J$10/100/12),0)</f>
      </c>
      <c r="W196" s="4">
        <f>IF(M195&gt;0,M195*($J$11/100/12),0)</f>
      </c>
      <c r="X196" s="4">
        <f>IF(N195&gt;0,N195*($J$12/100/12),0)</f>
      </c>
      <c r="Y196" s="4">
        <f>IF(O195&gt;0,O195*($J$13/100/12),0)</f>
      </c>
      <c r="Z196" s="4">
        <f>IF(P195&gt;0,P195*($J$14/100/12),0)</f>
      </c>
      <c r="AA196" s="4">
        <f>IF(G195&lt;=0,0,MIN($K$5,(G195+Q196)))</f>
      </c>
      <c r="AB196" s="4">
        <f>IF(H195&lt;=0,0,MIN($K$6,(H195+R196)))</f>
      </c>
      <c r="AC196" s="4">
        <f>IF(I195&lt;=0,0,MIN($K$7,(I195+S196)))</f>
      </c>
      <c r="AD196" s="4">
        <f>IF(J195&lt;=0,0,MIN($K$8,(J195+T196)))</f>
      </c>
      <c r="AE196" s="4">
        <f>IF(K195&lt;=0,0,MIN($K$9,(K195+U196)))</f>
      </c>
      <c r="AF196" s="4">
        <f>IF(L195&lt;=0,0,MIN($K$10,(L195+V196)))</f>
      </c>
      <c r="AG196" s="4">
        <f>IF(M195&lt;=0,0,MIN($K$11,(M195+W196)))</f>
      </c>
      <c r="AH196" s="4">
        <f>IF(N195&lt;=0,0,MIN($K$12,(N195+X196)))</f>
      </c>
      <c r="AI196" s="4">
        <f>IF(O195&lt;=0,0,MIN($K$13,(O195+Y196)))</f>
      </c>
      <c r="AJ196" s="4">
        <f>IF(P195&lt;=0,0,MIN($K$14,(P195+Z196)))</f>
      </c>
      <c r="AK196" s="4">
        <f>(G195+Q196)-AA196</f>
      </c>
      <c r="AL196" s="4">
        <f>(H195+R196)-AB196</f>
      </c>
      <c r="AM196" s="4">
        <f>(I195+S196)-AC196</f>
      </c>
      <c r="AN196" s="4">
        <f>(J195+T196)-AD196</f>
      </c>
      <c r="AO196" s="4">
        <f>(K195+U196)-AE196</f>
      </c>
      <c r="AP196" s="4">
        <f>(L195+V196)-AF196</f>
      </c>
      <c r="AQ196" s="4">
        <f>(M195+W196)-AG196</f>
      </c>
      <c r="AR196" s="4">
        <f>(N195+X196)-AH196</f>
      </c>
      <c r="AS196" s="4">
        <f>(O195+Y196)-AI196</f>
      </c>
      <c r="AT196" s="4">
        <f>(P195+Z196)-AJ196</f>
      </c>
      <c r="AU196" s="4">
        <f>$B$16+SUM($K$5:$K$14)-SUM(AA196:AJ196)</f>
      </c>
      <c r="AV196" s="4">
        <f>AU196-BE196</f>
      </c>
      <c r="AW196" s="4">
        <f>AV196-BF196</f>
      </c>
      <c r="AX196" s="4">
        <f>AW196-BG196</f>
      </c>
      <c r="AY196" s="4">
        <f>AX196-BH196</f>
      </c>
      <c r="AZ196" s="4">
        <f>AY196-BI196</f>
      </c>
      <c r="BA196" s="4">
        <f>AZ196-BJ196</f>
      </c>
      <c r="BB196" s="4">
        <f>BA196-BK196</f>
      </c>
      <c r="BC196" s="4">
        <f>BB196-BL196</f>
      </c>
      <c r="BD196" s="4">
        <f>BC196-BM196</f>
      </c>
      <c r="BE196" s="4">
        <f>IF(G195&lt;=0,0,MIN(AU196,AK196))</f>
      </c>
      <c r="BF196" s="4">
        <f>IF(H195&lt;=0,0,MIN(AV196,AL196))</f>
      </c>
      <c r="BG196" s="4">
        <f>IF(I195&lt;=0,0,MIN(AW196,AM196))</f>
      </c>
      <c r="BH196" s="4">
        <f>IF(J195&lt;=0,0,MIN(AX196,AN196))</f>
      </c>
      <c r="BI196" s="4">
        <f>IF(K195&lt;=0,0,MIN(AY196,AO196))</f>
      </c>
      <c r="BJ196" s="4">
        <f>IF(L195&lt;=0,0,MIN(AZ196,AP196))</f>
      </c>
      <c r="BK196" s="4">
        <f>IF(M195&lt;=0,0,MIN(BA196,AQ196))</f>
      </c>
      <c r="BL196" s="4">
        <f>IF(N195&lt;=0,0,MIN(BB196,AR196))</f>
      </c>
      <c r="BM196" s="4">
        <f>IF(O195&lt;=0,0,MIN(BC196,AS196))</f>
      </c>
      <c r="BN196" s="4">
        <f>IF(P195&lt;=0,0,MIN(BD196,AT196))</f>
      </c>
    </row>
    <row r="197" spans="1:66" x14ac:dyDescent="0.25">
      <c r="A197">
        <v>170</v>
      </c>
      <c r="B197" s="7">
        <f>EDATE($B$17,170)</f>
      </c>
      <c r="C197" s="4">
        <f>SUM(G197:P197)</f>
      </c>
      <c r="D197" s="4">
        <f>SUM(Q197:Z197)</f>
      </c>
      <c r="E197" s="4">
        <f>SUM(AA197:AJ197)+SUM(BE197:BN197)</f>
      </c>
      <c r="G197" s="4">
        <f>MAX(0,AK197-BE197)</f>
      </c>
      <c r="H197" s="4">
        <f>MAX(0,AL197-BF197)</f>
      </c>
      <c r="I197" s="4">
        <f>MAX(0,AM197-BG197)</f>
      </c>
      <c r="J197" s="4">
        <f>MAX(0,AN197-BH197)</f>
      </c>
      <c r="K197" s="4">
        <f>MAX(0,AO197-BI197)</f>
      </c>
      <c r="L197" s="4">
        <f>MAX(0,AP197-BJ197)</f>
      </c>
      <c r="M197" s="4">
        <f>MAX(0,AQ197-BK197)</f>
      </c>
      <c r="N197" s="4">
        <f>MAX(0,AR197-BL197)</f>
      </c>
      <c r="O197" s="4">
        <f>MAX(0,AS197-BM197)</f>
      </c>
      <c r="P197" s="4">
        <f>MAX(0,AT197-BN197)</f>
      </c>
      <c r="Q197" s="4">
        <f>IF(G196&gt;0,G196*($J$5/100/12),0)</f>
      </c>
      <c r="R197" s="4">
        <f>IF(H196&gt;0,H196*($J$6/100/12),0)</f>
      </c>
      <c r="S197" s="4">
        <f>IF(I196&gt;0,I196*($J$7/100/12),0)</f>
      </c>
      <c r="T197" s="4">
        <f>IF(J196&gt;0,J196*($J$8/100/12),0)</f>
      </c>
      <c r="U197" s="4">
        <f>IF(K196&gt;0,K196*($J$9/100/12),0)</f>
      </c>
      <c r="V197" s="4">
        <f>IF(L196&gt;0,L196*($J$10/100/12),0)</f>
      </c>
      <c r="W197" s="4">
        <f>IF(M196&gt;0,M196*($J$11/100/12),0)</f>
      </c>
      <c r="X197" s="4">
        <f>IF(N196&gt;0,N196*($J$12/100/12),0)</f>
      </c>
      <c r="Y197" s="4">
        <f>IF(O196&gt;0,O196*($J$13/100/12),0)</f>
      </c>
      <c r="Z197" s="4">
        <f>IF(P196&gt;0,P196*($J$14/100/12),0)</f>
      </c>
      <c r="AA197" s="4">
        <f>IF(G196&lt;=0,0,MIN($K$5,(G196+Q197)))</f>
      </c>
      <c r="AB197" s="4">
        <f>IF(H196&lt;=0,0,MIN($K$6,(H196+R197)))</f>
      </c>
      <c r="AC197" s="4">
        <f>IF(I196&lt;=0,0,MIN($K$7,(I196+S197)))</f>
      </c>
      <c r="AD197" s="4">
        <f>IF(J196&lt;=0,0,MIN($K$8,(J196+T197)))</f>
      </c>
      <c r="AE197" s="4">
        <f>IF(K196&lt;=0,0,MIN($K$9,(K196+U197)))</f>
      </c>
      <c r="AF197" s="4">
        <f>IF(L196&lt;=0,0,MIN($K$10,(L196+V197)))</f>
      </c>
      <c r="AG197" s="4">
        <f>IF(M196&lt;=0,0,MIN($K$11,(M196+W197)))</f>
      </c>
      <c r="AH197" s="4">
        <f>IF(N196&lt;=0,0,MIN($K$12,(N196+X197)))</f>
      </c>
      <c r="AI197" s="4">
        <f>IF(O196&lt;=0,0,MIN($K$13,(O196+Y197)))</f>
      </c>
      <c r="AJ197" s="4">
        <f>IF(P196&lt;=0,0,MIN($K$14,(P196+Z197)))</f>
      </c>
      <c r="AK197" s="4">
        <f>(G196+Q197)-AA197</f>
      </c>
      <c r="AL197" s="4">
        <f>(H196+R197)-AB197</f>
      </c>
      <c r="AM197" s="4">
        <f>(I196+S197)-AC197</f>
      </c>
      <c r="AN197" s="4">
        <f>(J196+T197)-AD197</f>
      </c>
      <c r="AO197" s="4">
        <f>(K196+U197)-AE197</f>
      </c>
      <c r="AP197" s="4">
        <f>(L196+V197)-AF197</f>
      </c>
      <c r="AQ197" s="4">
        <f>(M196+W197)-AG197</f>
      </c>
      <c r="AR197" s="4">
        <f>(N196+X197)-AH197</f>
      </c>
      <c r="AS197" s="4">
        <f>(O196+Y197)-AI197</f>
      </c>
      <c r="AT197" s="4">
        <f>(P196+Z197)-AJ197</f>
      </c>
      <c r="AU197" s="4">
        <f>$B$16+SUM($K$5:$K$14)-SUM(AA197:AJ197)</f>
      </c>
      <c r="AV197" s="4">
        <f>AU197-BE197</f>
      </c>
      <c r="AW197" s="4">
        <f>AV197-BF197</f>
      </c>
      <c r="AX197" s="4">
        <f>AW197-BG197</f>
      </c>
      <c r="AY197" s="4">
        <f>AX197-BH197</f>
      </c>
      <c r="AZ197" s="4">
        <f>AY197-BI197</f>
      </c>
      <c r="BA197" s="4">
        <f>AZ197-BJ197</f>
      </c>
      <c r="BB197" s="4">
        <f>BA197-BK197</f>
      </c>
      <c r="BC197" s="4">
        <f>BB197-BL197</f>
      </c>
      <c r="BD197" s="4">
        <f>BC197-BM197</f>
      </c>
      <c r="BE197" s="4">
        <f>IF(G196&lt;=0,0,MIN(AU197,AK197))</f>
      </c>
      <c r="BF197" s="4">
        <f>IF(H196&lt;=0,0,MIN(AV197,AL197))</f>
      </c>
      <c r="BG197" s="4">
        <f>IF(I196&lt;=0,0,MIN(AW197,AM197))</f>
      </c>
      <c r="BH197" s="4">
        <f>IF(J196&lt;=0,0,MIN(AX197,AN197))</f>
      </c>
      <c r="BI197" s="4">
        <f>IF(K196&lt;=0,0,MIN(AY197,AO197))</f>
      </c>
      <c r="BJ197" s="4">
        <f>IF(L196&lt;=0,0,MIN(AZ197,AP197))</f>
      </c>
      <c r="BK197" s="4">
        <f>IF(M196&lt;=0,0,MIN(BA197,AQ197))</f>
      </c>
      <c r="BL197" s="4">
        <f>IF(N196&lt;=0,0,MIN(BB197,AR197))</f>
      </c>
      <c r="BM197" s="4">
        <f>IF(O196&lt;=0,0,MIN(BC197,AS197))</f>
      </c>
      <c r="BN197" s="4">
        <f>IF(P196&lt;=0,0,MIN(BD197,AT197))</f>
      </c>
    </row>
    <row r="198" spans="1:66" x14ac:dyDescent="0.25">
      <c r="A198">
        <v>171</v>
      </c>
      <c r="B198" s="7">
        <f>EDATE($B$17,171)</f>
      </c>
      <c r="C198" s="4">
        <f>SUM(G198:P198)</f>
      </c>
      <c r="D198" s="4">
        <f>SUM(Q198:Z198)</f>
      </c>
      <c r="E198" s="4">
        <f>SUM(AA198:AJ198)+SUM(BE198:BN198)</f>
      </c>
      <c r="G198" s="4">
        <f>MAX(0,AK198-BE198)</f>
      </c>
      <c r="H198" s="4">
        <f>MAX(0,AL198-BF198)</f>
      </c>
      <c r="I198" s="4">
        <f>MAX(0,AM198-BG198)</f>
      </c>
      <c r="J198" s="4">
        <f>MAX(0,AN198-BH198)</f>
      </c>
      <c r="K198" s="4">
        <f>MAX(0,AO198-BI198)</f>
      </c>
      <c r="L198" s="4">
        <f>MAX(0,AP198-BJ198)</f>
      </c>
      <c r="M198" s="4">
        <f>MAX(0,AQ198-BK198)</f>
      </c>
      <c r="N198" s="4">
        <f>MAX(0,AR198-BL198)</f>
      </c>
      <c r="O198" s="4">
        <f>MAX(0,AS198-BM198)</f>
      </c>
      <c r="P198" s="4">
        <f>MAX(0,AT198-BN198)</f>
      </c>
      <c r="Q198" s="4">
        <f>IF(G197&gt;0,G197*($J$5/100/12),0)</f>
      </c>
      <c r="R198" s="4">
        <f>IF(H197&gt;0,H197*($J$6/100/12),0)</f>
      </c>
      <c r="S198" s="4">
        <f>IF(I197&gt;0,I197*($J$7/100/12),0)</f>
      </c>
      <c r="T198" s="4">
        <f>IF(J197&gt;0,J197*($J$8/100/12),0)</f>
      </c>
      <c r="U198" s="4">
        <f>IF(K197&gt;0,K197*($J$9/100/12),0)</f>
      </c>
      <c r="V198" s="4">
        <f>IF(L197&gt;0,L197*($J$10/100/12),0)</f>
      </c>
      <c r="W198" s="4">
        <f>IF(M197&gt;0,M197*($J$11/100/12),0)</f>
      </c>
      <c r="X198" s="4">
        <f>IF(N197&gt;0,N197*($J$12/100/12),0)</f>
      </c>
      <c r="Y198" s="4">
        <f>IF(O197&gt;0,O197*($J$13/100/12),0)</f>
      </c>
      <c r="Z198" s="4">
        <f>IF(P197&gt;0,P197*($J$14/100/12),0)</f>
      </c>
      <c r="AA198" s="4">
        <f>IF(G197&lt;=0,0,MIN($K$5,(G197+Q198)))</f>
      </c>
      <c r="AB198" s="4">
        <f>IF(H197&lt;=0,0,MIN($K$6,(H197+R198)))</f>
      </c>
      <c r="AC198" s="4">
        <f>IF(I197&lt;=0,0,MIN($K$7,(I197+S198)))</f>
      </c>
      <c r="AD198" s="4">
        <f>IF(J197&lt;=0,0,MIN($K$8,(J197+T198)))</f>
      </c>
      <c r="AE198" s="4">
        <f>IF(K197&lt;=0,0,MIN($K$9,(K197+U198)))</f>
      </c>
      <c r="AF198" s="4">
        <f>IF(L197&lt;=0,0,MIN($K$10,(L197+V198)))</f>
      </c>
      <c r="AG198" s="4">
        <f>IF(M197&lt;=0,0,MIN($K$11,(M197+W198)))</f>
      </c>
      <c r="AH198" s="4">
        <f>IF(N197&lt;=0,0,MIN($K$12,(N197+X198)))</f>
      </c>
      <c r="AI198" s="4">
        <f>IF(O197&lt;=0,0,MIN($K$13,(O197+Y198)))</f>
      </c>
      <c r="AJ198" s="4">
        <f>IF(P197&lt;=0,0,MIN($K$14,(P197+Z198)))</f>
      </c>
      <c r="AK198" s="4">
        <f>(G197+Q198)-AA198</f>
      </c>
      <c r="AL198" s="4">
        <f>(H197+R198)-AB198</f>
      </c>
      <c r="AM198" s="4">
        <f>(I197+S198)-AC198</f>
      </c>
      <c r="AN198" s="4">
        <f>(J197+T198)-AD198</f>
      </c>
      <c r="AO198" s="4">
        <f>(K197+U198)-AE198</f>
      </c>
      <c r="AP198" s="4">
        <f>(L197+V198)-AF198</f>
      </c>
      <c r="AQ198" s="4">
        <f>(M197+W198)-AG198</f>
      </c>
      <c r="AR198" s="4">
        <f>(N197+X198)-AH198</f>
      </c>
      <c r="AS198" s="4">
        <f>(O197+Y198)-AI198</f>
      </c>
      <c r="AT198" s="4">
        <f>(P197+Z198)-AJ198</f>
      </c>
      <c r="AU198" s="4">
        <f>$B$16+SUM($K$5:$K$14)-SUM(AA198:AJ198)</f>
      </c>
      <c r="AV198" s="4">
        <f>AU198-BE198</f>
      </c>
      <c r="AW198" s="4">
        <f>AV198-BF198</f>
      </c>
      <c r="AX198" s="4">
        <f>AW198-BG198</f>
      </c>
      <c r="AY198" s="4">
        <f>AX198-BH198</f>
      </c>
      <c r="AZ198" s="4">
        <f>AY198-BI198</f>
      </c>
      <c r="BA198" s="4">
        <f>AZ198-BJ198</f>
      </c>
      <c r="BB198" s="4">
        <f>BA198-BK198</f>
      </c>
      <c r="BC198" s="4">
        <f>BB198-BL198</f>
      </c>
      <c r="BD198" s="4">
        <f>BC198-BM198</f>
      </c>
      <c r="BE198" s="4">
        <f>IF(G197&lt;=0,0,MIN(AU198,AK198))</f>
      </c>
      <c r="BF198" s="4">
        <f>IF(H197&lt;=0,0,MIN(AV198,AL198))</f>
      </c>
      <c r="BG198" s="4">
        <f>IF(I197&lt;=0,0,MIN(AW198,AM198))</f>
      </c>
      <c r="BH198" s="4">
        <f>IF(J197&lt;=0,0,MIN(AX198,AN198))</f>
      </c>
      <c r="BI198" s="4">
        <f>IF(K197&lt;=0,0,MIN(AY198,AO198))</f>
      </c>
      <c r="BJ198" s="4">
        <f>IF(L197&lt;=0,0,MIN(AZ198,AP198))</f>
      </c>
      <c r="BK198" s="4">
        <f>IF(M197&lt;=0,0,MIN(BA198,AQ198))</f>
      </c>
      <c r="BL198" s="4">
        <f>IF(N197&lt;=0,0,MIN(BB198,AR198))</f>
      </c>
      <c r="BM198" s="4">
        <f>IF(O197&lt;=0,0,MIN(BC198,AS198))</f>
      </c>
      <c r="BN198" s="4">
        <f>IF(P197&lt;=0,0,MIN(BD198,AT198))</f>
      </c>
    </row>
    <row r="199" spans="1:66" x14ac:dyDescent="0.25">
      <c r="A199">
        <v>172</v>
      </c>
      <c r="B199" s="7">
        <f>EDATE($B$17,172)</f>
      </c>
      <c r="C199" s="4">
        <f>SUM(G199:P199)</f>
      </c>
      <c r="D199" s="4">
        <f>SUM(Q199:Z199)</f>
      </c>
      <c r="E199" s="4">
        <f>SUM(AA199:AJ199)+SUM(BE199:BN199)</f>
      </c>
      <c r="G199" s="4">
        <f>MAX(0,AK199-BE199)</f>
      </c>
      <c r="H199" s="4">
        <f>MAX(0,AL199-BF199)</f>
      </c>
      <c r="I199" s="4">
        <f>MAX(0,AM199-BG199)</f>
      </c>
      <c r="J199" s="4">
        <f>MAX(0,AN199-BH199)</f>
      </c>
      <c r="K199" s="4">
        <f>MAX(0,AO199-BI199)</f>
      </c>
      <c r="L199" s="4">
        <f>MAX(0,AP199-BJ199)</f>
      </c>
      <c r="M199" s="4">
        <f>MAX(0,AQ199-BK199)</f>
      </c>
      <c r="N199" s="4">
        <f>MAX(0,AR199-BL199)</f>
      </c>
      <c r="O199" s="4">
        <f>MAX(0,AS199-BM199)</f>
      </c>
      <c r="P199" s="4">
        <f>MAX(0,AT199-BN199)</f>
      </c>
      <c r="Q199" s="4">
        <f>IF(G198&gt;0,G198*($J$5/100/12),0)</f>
      </c>
      <c r="R199" s="4">
        <f>IF(H198&gt;0,H198*($J$6/100/12),0)</f>
      </c>
      <c r="S199" s="4">
        <f>IF(I198&gt;0,I198*($J$7/100/12),0)</f>
      </c>
      <c r="T199" s="4">
        <f>IF(J198&gt;0,J198*($J$8/100/12),0)</f>
      </c>
      <c r="U199" s="4">
        <f>IF(K198&gt;0,K198*($J$9/100/12),0)</f>
      </c>
      <c r="V199" s="4">
        <f>IF(L198&gt;0,L198*($J$10/100/12),0)</f>
      </c>
      <c r="W199" s="4">
        <f>IF(M198&gt;0,M198*($J$11/100/12),0)</f>
      </c>
      <c r="X199" s="4">
        <f>IF(N198&gt;0,N198*($J$12/100/12),0)</f>
      </c>
      <c r="Y199" s="4">
        <f>IF(O198&gt;0,O198*($J$13/100/12),0)</f>
      </c>
      <c r="Z199" s="4">
        <f>IF(P198&gt;0,P198*($J$14/100/12),0)</f>
      </c>
      <c r="AA199" s="4">
        <f>IF(G198&lt;=0,0,MIN($K$5,(G198+Q199)))</f>
      </c>
      <c r="AB199" s="4">
        <f>IF(H198&lt;=0,0,MIN($K$6,(H198+R199)))</f>
      </c>
      <c r="AC199" s="4">
        <f>IF(I198&lt;=0,0,MIN($K$7,(I198+S199)))</f>
      </c>
      <c r="AD199" s="4">
        <f>IF(J198&lt;=0,0,MIN($K$8,(J198+T199)))</f>
      </c>
      <c r="AE199" s="4">
        <f>IF(K198&lt;=0,0,MIN($K$9,(K198+U199)))</f>
      </c>
      <c r="AF199" s="4">
        <f>IF(L198&lt;=0,0,MIN($K$10,(L198+V199)))</f>
      </c>
      <c r="AG199" s="4">
        <f>IF(M198&lt;=0,0,MIN($K$11,(M198+W199)))</f>
      </c>
      <c r="AH199" s="4">
        <f>IF(N198&lt;=0,0,MIN($K$12,(N198+X199)))</f>
      </c>
      <c r="AI199" s="4">
        <f>IF(O198&lt;=0,0,MIN($K$13,(O198+Y199)))</f>
      </c>
      <c r="AJ199" s="4">
        <f>IF(P198&lt;=0,0,MIN($K$14,(P198+Z199)))</f>
      </c>
      <c r="AK199" s="4">
        <f>(G198+Q199)-AA199</f>
      </c>
      <c r="AL199" s="4">
        <f>(H198+R199)-AB199</f>
      </c>
      <c r="AM199" s="4">
        <f>(I198+S199)-AC199</f>
      </c>
      <c r="AN199" s="4">
        <f>(J198+T199)-AD199</f>
      </c>
      <c r="AO199" s="4">
        <f>(K198+U199)-AE199</f>
      </c>
      <c r="AP199" s="4">
        <f>(L198+V199)-AF199</f>
      </c>
      <c r="AQ199" s="4">
        <f>(M198+W199)-AG199</f>
      </c>
      <c r="AR199" s="4">
        <f>(N198+X199)-AH199</f>
      </c>
      <c r="AS199" s="4">
        <f>(O198+Y199)-AI199</f>
      </c>
      <c r="AT199" s="4">
        <f>(P198+Z199)-AJ199</f>
      </c>
      <c r="AU199" s="4">
        <f>$B$16+SUM($K$5:$K$14)-SUM(AA199:AJ199)</f>
      </c>
      <c r="AV199" s="4">
        <f>AU199-BE199</f>
      </c>
      <c r="AW199" s="4">
        <f>AV199-BF199</f>
      </c>
      <c r="AX199" s="4">
        <f>AW199-BG199</f>
      </c>
      <c r="AY199" s="4">
        <f>AX199-BH199</f>
      </c>
      <c r="AZ199" s="4">
        <f>AY199-BI199</f>
      </c>
      <c r="BA199" s="4">
        <f>AZ199-BJ199</f>
      </c>
      <c r="BB199" s="4">
        <f>BA199-BK199</f>
      </c>
      <c r="BC199" s="4">
        <f>BB199-BL199</f>
      </c>
      <c r="BD199" s="4">
        <f>BC199-BM199</f>
      </c>
      <c r="BE199" s="4">
        <f>IF(G198&lt;=0,0,MIN(AU199,AK199))</f>
      </c>
      <c r="BF199" s="4">
        <f>IF(H198&lt;=0,0,MIN(AV199,AL199))</f>
      </c>
      <c r="BG199" s="4">
        <f>IF(I198&lt;=0,0,MIN(AW199,AM199))</f>
      </c>
      <c r="BH199" s="4">
        <f>IF(J198&lt;=0,0,MIN(AX199,AN199))</f>
      </c>
      <c r="BI199" s="4">
        <f>IF(K198&lt;=0,0,MIN(AY199,AO199))</f>
      </c>
      <c r="BJ199" s="4">
        <f>IF(L198&lt;=0,0,MIN(AZ199,AP199))</f>
      </c>
      <c r="BK199" s="4">
        <f>IF(M198&lt;=0,0,MIN(BA199,AQ199))</f>
      </c>
      <c r="BL199" s="4">
        <f>IF(N198&lt;=0,0,MIN(BB199,AR199))</f>
      </c>
      <c r="BM199" s="4">
        <f>IF(O198&lt;=0,0,MIN(BC199,AS199))</f>
      </c>
      <c r="BN199" s="4">
        <f>IF(P198&lt;=0,0,MIN(BD199,AT199))</f>
      </c>
    </row>
    <row r="200" spans="1:66" x14ac:dyDescent="0.25">
      <c r="A200">
        <v>173</v>
      </c>
      <c r="B200" s="7">
        <f>EDATE($B$17,173)</f>
      </c>
      <c r="C200" s="4">
        <f>SUM(G200:P200)</f>
      </c>
      <c r="D200" s="4">
        <f>SUM(Q200:Z200)</f>
      </c>
      <c r="E200" s="4">
        <f>SUM(AA200:AJ200)+SUM(BE200:BN200)</f>
      </c>
      <c r="G200" s="4">
        <f>MAX(0,AK200-BE200)</f>
      </c>
      <c r="H200" s="4">
        <f>MAX(0,AL200-BF200)</f>
      </c>
      <c r="I200" s="4">
        <f>MAX(0,AM200-BG200)</f>
      </c>
      <c r="J200" s="4">
        <f>MAX(0,AN200-BH200)</f>
      </c>
      <c r="K200" s="4">
        <f>MAX(0,AO200-BI200)</f>
      </c>
      <c r="L200" s="4">
        <f>MAX(0,AP200-BJ200)</f>
      </c>
      <c r="M200" s="4">
        <f>MAX(0,AQ200-BK200)</f>
      </c>
      <c r="N200" s="4">
        <f>MAX(0,AR200-BL200)</f>
      </c>
      <c r="O200" s="4">
        <f>MAX(0,AS200-BM200)</f>
      </c>
      <c r="P200" s="4">
        <f>MAX(0,AT200-BN200)</f>
      </c>
      <c r="Q200" s="4">
        <f>IF(G199&gt;0,G199*($J$5/100/12),0)</f>
      </c>
      <c r="R200" s="4">
        <f>IF(H199&gt;0,H199*($J$6/100/12),0)</f>
      </c>
      <c r="S200" s="4">
        <f>IF(I199&gt;0,I199*($J$7/100/12),0)</f>
      </c>
      <c r="T200" s="4">
        <f>IF(J199&gt;0,J199*($J$8/100/12),0)</f>
      </c>
      <c r="U200" s="4">
        <f>IF(K199&gt;0,K199*($J$9/100/12),0)</f>
      </c>
      <c r="V200" s="4">
        <f>IF(L199&gt;0,L199*($J$10/100/12),0)</f>
      </c>
      <c r="W200" s="4">
        <f>IF(M199&gt;0,M199*($J$11/100/12),0)</f>
      </c>
      <c r="X200" s="4">
        <f>IF(N199&gt;0,N199*($J$12/100/12),0)</f>
      </c>
      <c r="Y200" s="4">
        <f>IF(O199&gt;0,O199*($J$13/100/12),0)</f>
      </c>
      <c r="Z200" s="4">
        <f>IF(P199&gt;0,P199*($J$14/100/12),0)</f>
      </c>
      <c r="AA200" s="4">
        <f>IF(G199&lt;=0,0,MIN($K$5,(G199+Q200)))</f>
      </c>
      <c r="AB200" s="4">
        <f>IF(H199&lt;=0,0,MIN($K$6,(H199+R200)))</f>
      </c>
      <c r="AC200" s="4">
        <f>IF(I199&lt;=0,0,MIN($K$7,(I199+S200)))</f>
      </c>
      <c r="AD200" s="4">
        <f>IF(J199&lt;=0,0,MIN($K$8,(J199+T200)))</f>
      </c>
      <c r="AE200" s="4">
        <f>IF(K199&lt;=0,0,MIN($K$9,(K199+U200)))</f>
      </c>
      <c r="AF200" s="4">
        <f>IF(L199&lt;=0,0,MIN($K$10,(L199+V200)))</f>
      </c>
      <c r="AG200" s="4">
        <f>IF(M199&lt;=0,0,MIN($K$11,(M199+W200)))</f>
      </c>
      <c r="AH200" s="4">
        <f>IF(N199&lt;=0,0,MIN($K$12,(N199+X200)))</f>
      </c>
      <c r="AI200" s="4">
        <f>IF(O199&lt;=0,0,MIN($K$13,(O199+Y200)))</f>
      </c>
      <c r="AJ200" s="4">
        <f>IF(P199&lt;=0,0,MIN($K$14,(P199+Z200)))</f>
      </c>
      <c r="AK200" s="4">
        <f>(G199+Q200)-AA200</f>
      </c>
      <c r="AL200" s="4">
        <f>(H199+R200)-AB200</f>
      </c>
      <c r="AM200" s="4">
        <f>(I199+S200)-AC200</f>
      </c>
      <c r="AN200" s="4">
        <f>(J199+T200)-AD200</f>
      </c>
      <c r="AO200" s="4">
        <f>(K199+U200)-AE200</f>
      </c>
      <c r="AP200" s="4">
        <f>(L199+V200)-AF200</f>
      </c>
      <c r="AQ200" s="4">
        <f>(M199+W200)-AG200</f>
      </c>
      <c r="AR200" s="4">
        <f>(N199+X200)-AH200</f>
      </c>
      <c r="AS200" s="4">
        <f>(O199+Y200)-AI200</f>
      </c>
      <c r="AT200" s="4">
        <f>(P199+Z200)-AJ200</f>
      </c>
      <c r="AU200" s="4">
        <f>$B$16+SUM($K$5:$K$14)-SUM(AA200:AJ200)</f>
      </c>
      <c r="AV200" s="4">
        <f>AU200-BE200</f>
      </c>
      <c r="AW200" s="4">
        <f>AV200-BF200</f>
      </c>
      <c r="AX200" s="4">
        <f>AW200-BG200</f>
      </c>
      <c r="AY200" s="4">
        <f>AX200-BH200</f>
      </c>
      <c r="AZ200" s="4">
        <f>AY200-BI200</f>
      </c>
      <c r="BA200" s="4">
        <f>AZ200-BJ200</f>
      </c>
      <c r="BB200" s="4">
        <f>BA200-BK200</f>
      </c>
      <c r="BC200" s="4">
        <f>BB200-BL200</f>
      </c>
      <c r="BD200" s="4">
        <f>BC200-BM200</f>
      </c>
      <c r="BE200" s="4">
        <f>IF(G199&lt;=0,0,MIN(AU200,AK200))</f>
      </c>
      <c r="BF200" s="4">
        <f>IF(H199&lt;=0,0,MIN(AV200,AL200))</f>
      </c>
      <c r="BG200" s="4">
        <f>IF(I199&lt;=0,0,MIN(AW200,AM200))</f>
      </c>
      <c r="BH200" s="4">
        <f>IF(J199&lt;=0,0,MIN(AX200,AN200))</f>
      </c>
      <c r="BI200" s="4">
        <f>IF(K199&lt;=0,0,MIN(AY200,AO200))</f>
      </c>
      <c r="BJ200" s="4">
        <f>IF(L199&lt;=0,0,MIN(AZ200,AP200))</f>
      </c>
      <c r="BK200" s="4">
        <f>IF(M199&lt;=0,0,MIN(BA200,AQ200))</f>
      </c>
      <c r="BL200" s="4">
        <f>IF(N199&lt;=0,0,MIN(BB200,AR200))</f>
      </c>
      <c r="BM200" s="4">
        <f>IF(O199&lt;=0,0,MIN(BC200,AS200))</f>
      </c>
      <c r="BN200" s="4">
        <f>IF(P199&lt;=0,0,MIN(BD200,AT200))</f>
      </c>
    </row>
    <row r="201" spans="1:66" x14ac:dyDescent="0.25">
      <c r="A201">
        <v>174</v>
      </c>
      <c r="B201" s="7">
        <f>EDATE($B$17,174)</f>
      </c>
      <c r="C201" s="4">
        <f>SUM(G201:P201)</f>
      </c>
      <c r="D201" s="4">
        <f>SUM(Q201:Z201)</f>
      </c>
      <c r="E201" s="4">
        <f>SUM(AA201:AJ201)+SUM(BE201:BN201)</f>
      </c>
      <c r="G201" s="4">
        <f>MAX(0,AK201-BE201)</f>
      </c>
      <c r="H201" s="4">
        <f>MAX(0,AL201-BF201)</f>
      </c>
      <c r="I201" s="4">
        <f>MAX(0,AM201-BG201)</f>
      </c>
      <c r="J201" s="4">
        <f>MAX(0,AN201-BH201)</f>
      </c>
      <c r="K201" s="4">
        <f>MAX(0,AO201-BI201)</f>
      </c>
      <c r="L201" s="4">
        <f>MAX(0,AP201-BJ201)</f>
      </c>
      <c r="M201" s="4">
        <f>MAX(0,AQ201-BK201)</f>
      </c>
      <c r="N201" s="4">
        <f>MAX(0,AR201-BL201)</f>
      </c>
      <c r="O201" s="4">
        <f>MAX(0,AS201-BM201)</f>
      </c>
      <c r="P201" s="4">
        <f>MAX(0,AT201-BN201)</f>
      </c>
      <c r="Q201" s="4">
        <f>IF(G200&gt;0,G200*($J$5/100/12),0)</f>
      </c>
      <c r="R201" s="4">
        <f>IF(H200&gt;0,H200*($J$6/100/12),0)</f>
      </c>
      <c r="S201" s="4">
        <f>IF(I200&gt;0,I200*($J$7/100/12),0)</f>
      </c>
      <c r="T201" s="4">
        <f>IF(J200&gt;0,J200*($J$8/100/12),0)</f>
      </c>
      <c r="U201" s="4">
        <f>IF(K200&gt;0,K200*($J$9/100/12),0)</f>
      </c>
      <c r="V201" s="4">
        <f>IF(L200&gt;0,L200*($J$10/100/12),0)</f>
      </c>
      <c r="W201" s="4">
        <f>IF(M200&gt;0,M200*($J$11/100/12),0)</f>
      </c>
      <c r="X201" s="4">
        <f>IF(N200&gt;0,N200*($J$12/100/12),0)</f>
      </c>
      <c r="Y201" s="4">
        <f>IF(O200&gt;0,O200*($J$13/100/12),0)</f>
      </c>
      <c r="Z201" s="4">
        <f>IF(P200&gt;0,P200*($J$14/100/12),0)</f>
      </c>
      <c r="AA201" s="4">
        <f>IF(G200&lt;=0,0,MIN($K$5,(G200+Q201)))</f>
      </c>
      <c r="AB201" s="4">
        <f>IF(H200&lt;=0,0,MIN($K$6,(H200+R201)))</f>
      </c>
      <c r="AC201" s="4">
        <f>IF(I200&lt;=0,0,MIN($K$7,(I200+S201)))</f>
      </c>
      <c r="AD201" s="4">
        <f>IF(J200&lt;=0,0,MIN($K$8,(J200+T201)))</f>
      </c>
      <c r="AE201" s="4">
        <f>IF(K200&lt;=0,0,MIN($K$9,(K200+U201)))</f>
      </c>
      <c r="AF201" s="4">
        <f>IF(L200&lt;=0,0,MIN($K$10,(L200+V201)))</f>
      </c>
      <c r="AG201" s="4">
        <f>IF(M200&lt;=0,0,MIN($K$11,(M200+W201)))</f>
      </c>
      <c r="AH201" s="4">
        <f>IF(N200&lt;=0,0,MIN($K$12,(N200+X201)))</f>
      </c>
      <c r="AI201" s="4">
        <f>IF(O200&lt;=0,0,MIN($K$13,(O200+Y201)))</f>
      </c>
      <c r="AJ201" s="4">
        <f>IF(P200&lt;=0,0,MIN($K$14,(P200+Z201)))</f>
      </c>
      <c r="AK201" s="4">
        <f>(G200+Q201)-AA201</f>
      </c>
      <c r="AL201" s="4">
        <f>(H200+R201)-AB201</f>
      </c>
      <c r="AM201" s="4">
        <f>(I200+S201)-AC201</f>
      </c>
      <c r="AN201" s="4">
        <f>(J200+T201)-AD201</f>
      </c>
      <c r="AO201" s="4">
        <f>(K200+U201)-AE201</f>
      </c>
      <c r="AP201" s="4">
        <f>(L200+V201)-AF201</f>
      </c>
      <c r="AQ201" s="4">
        <f>(M200+W201)-AG201</f>
      </c>
      <c r="AR201" s="4">
        <f>(N200+X201)-AH201</f>
      </c>
      <c r="AS201" s="4">
        <f>(O200+Y201)-AI201</f>
      </c>
      <c r="AT201" s="4">
        <f>(P200+Z201)-AJ201</f>
      </c>
      <c r="AU201" s="4">
        <f>$B$16+SUM($K$5:$K$14)-SUM(AA201:AJ201)</f>
      </c>
      <c r="AV201" s="4">
        <f>AU201-BE201</f>
      </c>
      <c r="AW201" s="4">
        <f>AV201-BF201</f>
      </c>
      <c r="AX201" s="4">
        <f>AW201-BG201</f>
      </c>
      <c r="AY201" s="4">
        <f>AX201-BH201</f>
      </c>
      <c r="AZ201" s="4">
        <f>AY201-BI201</f>
      </c>
      <c r="BA201" s="4">
        <f>AZ201-BJ201</f>
      </c>
      <c r="BB201" s="4">
        <f>BA201-BK201</f>
      </c>
      <c r="BC201" s="4">
        <f>BB201-BL201</f>
      </c>
      <c r="BD201" s="4">
        <f>BC201-BM201</f>
      </c>
      <c r="BE201" s="4">
        <f>IF(G200&lt;=0,0,MIN(AU201,AK201))</f>
      </c>
      <c r="BF201" s="4">
        <f>IF(H200&lt;=0,0,MIN(AV201,AL201))</f>
      </c>
      <c r="BG201" s="4">
        <f>IF(I200&lt;=0,0,MIN(AW201,AM201))</f>
      </c>
      <c r="BH201" s="4">
        <f>IF(J200&lt;=0,0,MIN(AX201,AN201))</f>
      </c>
      <c r="BI201" s="4">
        <f>IF(K200&lt;=0,0,MIN(AY201,AO201))</f>
      </c>
      <c r="BJ201" s="4">
        <f>IF(L200&lt;=0,0,MIN(AZ201,AP201))</f>
      </c>
      <c r="BK201" s="4">
        <f>IF(M200&lt;=0,0,MIN(BA201,AQ201))</f>
      </c>
      <c r="BL201" s="4">
        <f>IF(N200&lt;=0,0,MIN(BB201,AR201))</f>
      </c>
      <c r="BM201" s="4">
        <f>IF(O200&lt;=0,0,MIN(BC201,AS201))</f>
      </c>
      <c r="BN201" s="4">
        <f>IF(P200&lt;=0,0,MIN(BD201,AT201))</f>
      </c>
    </row>
    <row r="202" spans="1:66" x14ac:dyDescent="0.25">
      <c r="A202">
        <v>175</v>
      </c>
      <c r="B202" s="7">
        <f>EDATE($B$17,175)</f>
      </c>
      <c r="C202" s="4">
        <f>SUM(G202:P202)</f>
      </c>
      <c r="D202" s="4">
        <f>SUM(Q202:Z202)</f>
      </c>
      <c r="E202" s="4">
        <f>SUM(AA202:AJ202)+SUM(BE202:BN202)</f>
      </c>
      <c r="G202" s="4">
        <f>MAX(0,AK202-BE202)</f>
      </c>
      <c r="H202" s="4">
        <f>MAX(0,AL202-BF202)</f>
      </c>
      <c r="I202" s="4">
        <f>MAX(0,AM202-BG202)</f>
      </c>
      <c r="J202" s="4">
        <f>MAX(0,AN202-BH202)</f>
      </c>
      <c r="K202" s="4">
        <f>MAX(0,AO202-BI202)</f>
      </c>
      <c r="L202" s="4">
        <f>MAX(0,AP202-BJ202)</f>
      </c>
      <c r="M202" s="4">
        <f>MAX(0,AQ202-BK202)</f>
      </c>
      <c r="N202" s="4">
        <f>MAX(0,AR202-BL202)</f>
      </c>
      <c r="O202" s="4">
        <f>MAX(0,AS202-BM202)</f>
      </c>
      <c r="P202" s="4">
        <f>MAX(0,AT202-BN202)</f>
      </c>
      <c r="Q202" s="4">
        <f>IF(G201&gt;0,G201*($J$5/100/12),0)</f>
      </c>
      <c r="R202" s="4">
        <f>IF(H201&gt;0,H201*($J$6/100/12),0)</f>
      </c>
      <c r="S202" s="4">
        <f>IF(I201&gt;0,I201*($J$7/100/12),0)</f>
      </c>
      <c r="T202" s="4">
        <f>IF(J201&gt;0,J201*($J$8/100/12),0)</f>
      </c>
      <c r="U202" s="4">
        <f>IF(K201&gt;0,K201*($J$9/100/12),0)</f>
      </c>
      <c r="V202" s="4">
        <f>IF(L201&gt;0,L201*($J$10/100/12),0)</f>
      </c>
      <c r="W202" s="4">
        <f>IF(M201&gt;0,M201*($J$11/100/12),0)</f>
      </c>
      <c r="X202" s="4">
        <f>IF(N201&gt;0,N201*($J$12/100/12),0)</f>
      </c>
      <c r="Y202" s="4">
        <f>IF(O201&gt;0,O201*($J$13/100/12),0)</f>
      </c>
      <c r="Z202" s="4">
        <f>IF(P201&gt;0,P201*($J$14/100/12),0)</f>
      </c>
      <c r="AA202" s="4">
        <f>IF(G201&lt;=0,0,MIN($K$5,(G201+Q202)))</f>
      </c>
      <c r="AB202" s="4">
        <f>IF(H201&lt;=0,0,MIN($K$6,(H201+R202)))</f>
      </c>
      <c r="AC202" s="4">
        <f>IF(I201&lt;=0,0,MIN($K$7,(I201+S202)))</f>
      </c>
      <c r="AD202" s="4">
        <f>IF(J201&lt;=0,0,MIN($K$8,(J201+T202)))</f>
      </c>
      <c r="AE202" s="4">
        <f>IF(K201&lt;=0,0,MIN($K$9,(K201+U202)))</f>
      </c>
      <c r="AF202" s="4">
        <f>IF(L201&lt;=0,0,MIN($K$10,(L201+V202)))</f>
      </c>
      <c r="AG202" s="4">
        <f>IF(M201&lt;=0,0,MIN($K$11,(M201+W202)))</f>
      </c>
      <c r="AH202" s="4">
        <f>IF(N201&lt;=0,0,MIN($K$12,(N201+X202)))</f>
      </c>
      <c r="AI202" s="4">
        <f>IF(O201&lt;=0,0,MIN($K$13,(O201+Y202)))</f>
      </c>
      <c r="AJ202" s="4">
        <f>IF(P201&lt;=0,0,MIN($K$14,(P201+Z202)))</f>
      </c>
      <c r="AK202" s="4">
        <f>(G201+Q202)-AA202</f>
      </c>
      <c r="AL202" s="4">
        <f>(H201+R202)-AB202</f>
      </c>
      <c r="AM202" s="4">
        <f>(I201+S202)-AC202</f>
      </c>
      <c r="AN202" s="4">
        <f>(J201+T202)-AD202</f>
      </c>
      <c r="AO202" s="4">
        <f>(K201+U202)-AE202</f>
      </c>
      <c r="AP202" s="4">
        <f>(L201+V202)-AF202</f>
      </c>
      <c r="AQ202" s="4">
        <f>(M201+W202)-AG202</f>
      </c>
      <c r="AR202" s="4">
        <f>(N201+X202)-AH202</f>
      </c>
      <c r="AS202" s="4">
        <f>(O201+Y202)-AI202</f>
      </c>
      <c r="AT202" s="4">
        <f>(P201+Z202)-AJ202</f>
      </c>
      <c r="AU202" s="4">
        <f>$B$16+SUM($K$5:$K$14)-SUM(AA202:AJ202)</f>
      </c>
      <c r="AV202" s="4">
        <f>AU202-BE202</f>
      </c>
      <c r="AW202" s="4">
        <f>AV202-BF202</f>
      </c>
      <c r="AX202" s="4">
        <f>AW202-BG202</f>
      </c>
      <c r="AY202" s="4">
        <f>AX202-BH202</f>
      </c>
      <c r="AZ202" s="4">
        <f>AY202-BI202</f>
      </c>
      <c r="BA202" s="4">
        <f>AZ202-BJ202</f>
      </c>
      <c r="BB202" s="4">
        <f>BA202-BK202</f>
      </c>
      <c r="BC202" s="4">
        <f>BB202-BL202</f>
      </c>
      <c r="BD202" s="4">
        <f>BC202-BM202</f>
      </c>
      <c r="BE202" s="4">
        <f>IF(G201&lt;=0,0,MIN(AU202,AK202))</f>
      </c>
      <c r="BF202" s="4">
        <f>IF(H201&lt;=0,0,MIN(AV202,AL202))</f>
      </c>
      <c r="BG202" s="4">
        <f>IF(I201&lt;=0,0,MIN(AW202,AM202))</f>
      </c>
      <c r="BH202" s="4">
        <f>IF(J201&lt;=0,0,MIN(AX202,AN202))</f>
      </c>
      <c r="BI202" s="4">
        <f>IF(K201&lt;=0,0,MIN(AY202,AO202))</f>
      </c>
      <c r="BJ202" s="4">
        <f>IF(L201&lt;=0,0,MIN(AZ202,AP202))</f>
      </c>
      <c r="BK202" s="4">
        <f>IF(M201&lt;=0,0,MIN(BA202,AQ202))</f>
      </c>
      <c r="BL202" s="4">
        <f>IF(N201&lt;=0,0,MIN(BB202,AR202))</f>
      </c>
      <c r="BM202" s="4">
        <f>IF(O201&lt;=0,0,MIN(BC202,AS202))</f>
      </c>
      <c r="BN202" s="4">
        <f>IF(P201&lt;=0,0,MIN(BD202,AT202))</f>
      </c>
    </row>
    <row r="203" spans="1:66" x14ac:dyDescent="0.25">
      <c r="A203">
        <v>176</v>
      </c>
      <c r="B203" s="7">
        <f>EDATE($B$17,176)</f>
      </c>
      <c r="C203" s="4">
        <f>SUM(G203:P203)</f>
      </c>
      <c r="D203" s="4">
        <f>SUM(Q203:Z203)</f>
      </c>
      <c r="E203" s="4">
        <f>SUM(AA203:AJ203)+SUM(BE203:BN203)</f>
      </c>
      <c r="G203" s="4">
        <f>MAX(0,AK203-BE203)</f>
      </c>
      <c r="H203" s="4">
        <f>MAX(0,AL203-BF203)</f>
      </c>
      <c r="I203" s="4">
        <f>MAX(0,AM203-BG203)</f>
      </c>
      <c r="J203" s="4">
        <f>MAX(0,AN203-BH203)</f>
      </c>
      <c r="K203" s="4">
        <f>MAX(0,AO203-BI203)</f>
      </c>
      <c r="L203" s="4">
        <f>MAX(0,AP203-BJ203)</f>
      </c>
      <c r="M203" s="4">
        <f>MAX(0,AQ203-BK203)</f>
      </c>
      <c r="N203" s="4">
        <f>MAX(0,AR203-BL203)</f>
      </c>
      <c r="O203" s="4">
        <f>MAX(0,AS203-BM203)</f>
      </c>
      <c r="P203" s="4">
        <f>MAX(0,AT203-BN203)</f>
      </c>
      <c r="Q203" s="4">
        <f>IF(G202&gt;0,G202*($J$5/100/12),0)</f>
      </c>
      <c r="R203" s="4">
        <f>IF(H202&gt;0,H202*($J$6/100/12),0)</f>
      </c>
      <c r="S203" s="4">
        <f>IF(I202&gt;0,I202*($J$7/100/12),0)</f>
      </c>
      <c r="T203" s="4">
        <f>IF(J202&gt;0,J202*($J$8/100/12),0)</f>
      </c>
      <c r="U203" s="4">
        <f>IF(K202&gt;0,K202*($J$9/100/12),0)</f>
      </c>
      <c r="V203" s="4">
        <f>IF(L202&gt;0,L202*($J$10/100/12),0)</f>
      </c>
      <c r="W203" s="4">
        <f>IF(M202&gt;0,M202*($J$11/100/12),0)</f>
      </c>
      <c r="X203" s="4">
        <f>IF(N202&gt;0,N202*($J$12/100/12),0)</f>
      </c>
      <c r="Y203" s="4">
        <f>IF(O202&gt;0,O202*($J$13/100/12),0)</f>
      </c>
      <c r="Z203" s="4">
        <f>IF(P202&gt;0,P202*($J$14/100/12),0)</f>
      </c>
      <c r="AA203" s="4">
        <f>IF(G202&lt;=0,0,MIN($K$5,(G202+Q203)))</f>
      </c>
      <c r="AB203" s="4">
        <f>IF(H202&lt;=0,0,MIN($K$6,(H202+R203)))</f>
      </c>
      <c r="AC203" s="4">
        <f>IF(I202&lt;=0,0,MIN($K$7,(I202+S203)))</f>
      </c>
      <c r="AD203" s="4">
        <f>IF(J202&lt;=0,0,MIN($K$8,(J202+T203)))</f>
      </c>
      <c r="AE203" s="4">
        <f>IF(K202&lt;=0,0,MIN($K$9,(K202+U203)))</f>
      </c>
      <c r="AF203" s="4">
        <f>IF(L202&lt;=0,0,MIN($K$10,(L202+V203)))</f>
      </c>
      <c r="AG203" s="4">
        <f>IF(M202&lt;=0,0,MIN($K$11,(M202+W203)))</f>
      </c>
      <c r="AH203" s="4">
        <f>IF(N202&lt;=0,0,MIN($K$12,(N202+X203)))</f>
      </c>
      <c r="AI203" s="4">
        <f>IF(O202&lt;=0,0,MIN($K$13,(O202+Y203)))</f>
      </c>
      <c r="AJ203" s="4">
        <f>IF(P202&lt;=0,0,MIN($K$14,(P202+Z203)))</f>
      </c>
      <c r="AK203" s="4">
        <f>(G202+Q203)-AA203</f>
      </c>
      <c r="AL203" s="4">
        <f>(H202+R203)-AB203</f>
      </c>
      <c r="AM203" s="4">
        <f>(I202+S203)-AC203</f>
      </c>
      <c r="AN203" s="4">
        <f>(J202+T203)-AD203</f>
      </c>
      <c r="AO203" s="4">
        <f>(K202+U203)-AE203</f>
      </c>
      <c r="AP203" s="4">
        <f>(L202+V203)-AF203</f>
      </c>
      <c r="AQ203" s="4">
        <f>(M202+W203)-AG203</f>
      </c>
      <c r="AR203" s="4">
        <f>(N202+X203)-AH203</f>
      </c>
      <c r="AS203" s="4">
        <f>(O202+Y203)-AI203</f>
      </c>
      <c r="AT203" s="4">
        <f>(P202+Z203)-AJ203</f>
      </c>
      <c r="AU203" s="4">
        <f>$B$16+SUM($K$5:$K$14)-SUM(AA203:AJ203)</f>
      </c>
      <c r="AV203" s="4">
        <f>AU203-BE203</f>
      </c>
      <c r="AW203" s="4">
        <f>AV203-BF203</f>
      </c>
      <c r="AX203" s="4">
        <f>AW203-BG203</f>
      </c>
      <c r="AY203" s="4">
        <f>AX203-BH203</f>
      </c>
      <c r="AZ203" s="4">
        <f>AY203-BI203</f>
      </c>
      <c r="BA203" s="4">
        <f>AZ203-BJ203</f>
      </c>
      <c r="BB203" s="4">
        <f>BA203-BK203</f>
      </c>
      <c r="BC203" s="4">
        <f>BB203-BL203</f>
      </c>
      <c r="BD203" s="4">
        <f>BC203-BM203</f>
      </c>
      <c r="BE203" s="4">
        <f>IF(G202&lt;=0,0,MIN(AU203,AK203))</f>
      </c>
      <c r="BF203" s="4">
        <f>IF(H202&lt;=0,0,MIN(AV203,AL203))</f>
      </c>
      <c r="BG203" s="4">
        <f>IF(I202&lt;=0,0,MIN(AW203,AM203))</f>
      </c>
      <c r="BH203" s="4">
        <f>IF(J202&lt;=0,0,MIN(AX203,AN203))</f>
      </c>
      <c r="BI203" s="4">
        <f>IF(K202&lt;=0,0,MIN(AY203,AO203))</f>
      </c>
      <c r="BJ203" s="4">
        <f>IF(L202&lt;=0,0,MIN(AZ203,AP203))</f>
      </c>
      <c r="BK203" s="4">
        <f>IF(M202&lt;=0,0,MIN(BA203,AQ203))</f>
      </c>
      <c r="BL203" s="4">
        <f>IF(N202&lt;=0,0,MIN(BB203,AR203))</f>
      </c>
      <c r="BM203" s="4">
        <f>IF(O202&lt;=0,0,MIN(BC203,AS203))</f>
      </c>
      <c r="BN203" s="4">
        <f>IF(P202&lt;=0,0,MIN(BD203,AT203))</f>
      </c>
    </row>
    <row r="204" spans="1:66" x14ac:dyDescent="0.25">
      <c r="A204">
        <v>177</v>
      </c>
      <c r="B204" s="7">
        <f>EDATE($B$17,177)</f>
      </c>
      <c r="C204" s="4">
        <f>SUM(G204:P204)</f>
      </c>
      <c r="D204" s="4">
        <f>SUM(Q204:Z204)</f>
      </c>
      <c r="E204" s="4">
        <f>SUM(AA204:AJ204)+SUM(BE204:BN204)</f>
      </c>
      <c r="G204" s="4">
        <f>MAX(0,AK204-BE204)</f>
      </c>
      <c r="H204" s="4">
        <f>MAX(0,AL204-BF204)</f>
      </c>
      <c r="I204" s="4">
        <f>MAX(0,AM204-BG204)</f>
      </c>
      <c r="J204" s="4">
        <f>MAX(0,AN204-BH204)</f>
      </c>
      <c r="K204" s="4">
        <f>MAX(0,AO204-BI204)</f>
      </c>
      <c r="L204" s="4">
        <f>MAX(0,AP204-BJ204)</f>
      </c>
      <c r="M204" s="4">
        <f>MAX(0,AQ204-BK204)</f>
      </c>
      <c r="N204" s="4">
        <f>MAX(0,AR204-BL204)</f>
      </c>
      <c r="O204" s="4">
        <f>MAX(0,AS204-BM204)</f>
      </c>
      <c r="P204" s="4">
        <f>MAX(0,AT204-BN204)</f>
      </c>
      <c r="Q204" s="4">
        <f>IF(G203&gt;0,G203*($J$5/100/12),0)</f>
      </c>
      <c r="R204" s="4">
        <f>IF(H203&gt;0,H203*($J$6/100/12),0)</f>
      </c>
      <c r="S204" s="4">
        <f>IF(I203&gt;0,I203*($J$7/100/12),0)</f>
      </c>
      <c r="T204" s="4">
        <f>IF(J203&gt;0,J203*($J$8/100/12),0)</f>
      </c>
      <c r="U204" s="4">
        <f>IF(K203&gt;0,K203*($J$9/100/12),0)</f>
      </c>
      <c r="V204" s="4">
        <f>IF(L203&gt;0,L203*($J$10/100/12),0)</f>
      </c>
      <c r="W204" s="4">
        <f>IF(M203&gt;0,M203*($J$11/100/12),0)</f>
      </c>
      <c r="X204" s="4">
        <f>IF(N203&gt;0,N203*($J$12/100/12),0)</f>
      </c>
      <c r="Y204" s="4">
        <f>IF(O203&gt;0,O203*($J$13/100/12),0)</f>
      </c>
      <c r="Z204" s="4">
        <f>IF(P203&gt;0,P203*($J$14/100/12),0)</f>
      </c>
      <c r="AA204" s="4">
        <f>IF(G203&lt;=0,0,MIN($K$5,(G203+Q204)))</f>
      </c>
      <c r="AB204" s="4">
        <f>IF(H203&lt;=0,0,MIN($K$6,(H203+R204)))</f>
      </c>
      <c r="AC204" s="4">
        <f>IF(I203&lt;=0,0,MIN($K$7,(I203+S204)))</f>
      </c>
      <c r="AD204" s="4">
        <f>IF(J203&lt;=0,0,MIN($K$8,(J203+T204)))</f>
      </c>
      <c r="AE204" s="4">
        <f>IF(K203&lt;=0,0,MIN($K$9,(K203+U204)))</f>
      </c>
      <c r="AF204" s="4">
        <f>IF(L203&lt;=0,0,MIN($K$10,(L203+V204)))</f>
      </c>
      <c r="AG204" s="4">
        <f>IF(M203&lt;=0,0,MIN($K$11,(M203+W204)))</f>
      </c>
      <c r="AH204" s="4">
        <f>IF(N203&lt;=0,0,MIN($K$12,(N203+X204)))</f>
      </c>
      <c r="AI204" s="4">
        <f>IF(O203&lt;=0,0,MIN($K$13,(O203+Y204)))</f>
      </c>
      <c r="AJ204" s="4">
        <f>IF(P203&lt;=0,0,MIN($K$14,(P203+Z204)))</f>
      </c>
      <c r="AK204" s="4">
        <f>(G203+Q204)-AA204</f>
      </c>
      <c r="AL204" s="4">
        <f>(H203+R204)-AB204</f>
      </c>
      <c r="AM204" s="4">
        <f>(I203+S204)-AC204</f>
      </c>
      <c r="AN204" s="4">
        <f>(J203+T204)-AD204</f>
      </c>
      <c r="AO204" s="4">
        <f>(K203+U204)-AE204</f>
      </c>
      <c r="AP204" s="4">
        <f>(L203+V204)-AF204</f>
      </c>
      <c r="AQ204" s="4">
        <f>(M203+W204)-AG204</f>
      </c>
      <c r="AR204" s="4">
        <f>(N203+X204)-AH204</f>
      </c>
      <c r="AS204" s="4">
        <f>(O203+Y204)-AI204</f>
      </c>
      <c r="AT204" s="4">
        <f>(P203+Z204)-AJ204</f>
      </c>
      <c r="AU204" s="4">
        <f>$B$16+SUM($K$5:$K$14)-SUM(AA204:AJ204)</f>
      </c>
      <c r="AV204" s="4">
        <f>AU204-BE204</f>
      </c>
      <c r="AW204" s="4">
        <f>AV204-BF204</f>
      </c>
      <c r="AX204" s="4">
        <f>AW204-BG204</f>
      </c>
      <c r="AY204" s="4">
        <f>AX204-BH204</f>
      </c>
      <c r="AZ204" s="4">
        <f>AY204-BI204</f>
      </c>
      <c r="BA204" s="4">
        <f>AZ204-BJ204</f>
      </c>
      <c r="BB204" s="4">
        <f>BA204-BK204</f>
      </c>
      <c r="BC204" s="4">
        <f>BB204-BL204</f>
      </c>
      <c r="BD204" s="4">
        <f>BC204-BM204</f>
      </c>
      <c r="BE204" s="4">
        <f>IF(G203&lt;=0,0,MIN(AU204,AK204))</f>
      </c>
      <c r="BF204" s="4">
        <f>IF(H203&lt;=0,0,MIN(AV204,AL204))</f>
      </c>
      <c r="BG204" s="4">
        <f>IF(I203&lt;=0,0,MIN(AW204,AM204))</f>
      </c>
      <c r="BH204" s="4">
        <f>IF(J203&lt;=0,0,MIN(AX204,AN204))</f>
      </c>
      <c r="BI204" s="4">
        <f>IF(K203&lt;=0,0,MIN(AY204,AO204))</f>
      </c>
      <c r="BJ204" s="4">
        <f>IF(L203&lt;=0,0,MIN(AZ204,AP204))</f>
      </c>
      <c r="BK204" s="4">
        <f>IF(M203&lt;=0,0,MIN(BA204,AQ204))</f>
      </c>
      <c r="BL204" s="4">
        <f>IF(N203&lt;=0,0,MIN(BB204,AR204))</f>
      </c>
      <c r="BM204" s="4">
        <f>IF(O203&lt;=0,0,MIN(BC204,AS204))</f>
      </c>
      <c r="BN204" s="4">
        <f>IF(P203&lt;=0,0,MIN(BD204,AT204))</f>
      </c>
    </row>
    <row r="205" spans="1:66" x14ac:dyDescent="0.25">
      <c r="A205">
        <v>178</v>
      </c>
      <c r="B205" s="7">
        <f>EDATE($B$17,178)</f>
      </c>
      <c r="C205" s="4">
        <f>SUM(G205:P205)</f>
      </c>
      <c r="D205" s="4">
        <f>SUM(Q205:Z205)</f>
      </c>
      <c r="E205" s="4">
        <f>SUM(AA205:AJ205)+SUM(BE205:BN205)</f>
      </c>
      <c r="G205" s="4">
        <f>MAX(0,AK205-BE205)</f>
      </c>
      <c r="H205" s="4">
        <f>MAX(0,AL205-BF205)</f>
      </c>
      <c r="I205" s="4">
        <f>MAX(0,AM205-BG205)</f>
      </c>
      <c r="J205" s="4">
        <f>MAX(0,AN205-BH205)</f>
      </c>
      <c r="K205" s="4">
        <f>MAX(0,AO205-BI205)</f>
      </c>
      <c r="L205" s="4">
        <f>MAX(0,AP205-BJ205)</f>
      </c>
      <c r="M205" s="4">
        <f>MAX(0,AQ205-BK205)</f>
      </c>
      <c r="N205" s="4">
        <f>MAX(0,AR205-BL205)</f>
      </c>
      <c r="O205" s="4">
        <f>MAX(0,AS205-BM205)</f>
      </c>
      <c r="P205" s="4">
        <f>MAX(0,AT205-BN205)</f>
      </c>
      <c r="Q205" s="4">
        <f>IF(G204&gt;0,G204*($J$5/100/12),0)</f>
      </c>
      <c r="R205" s="4">
        <f>IF(H204&gt;0,H204*($J$6/100/12),0)</f>
      </c>
      <c r="S205" s="4">
        <f>IF(I204&gt;0,I204*($J$7/100/12),0)</f>
      </c>
      <c r="T205" s="4">
        <f>IF(J204&gt;0,J204*($J$8/100/12),0)</f>
      </c>
      <c r="U205" s="4">
        <f>IF(K204&gt;0,K204*($J$9/100/12),0)</f>
      </c>
      <c r="V205" s="4">
        <f>IF(L204&gt;0,L204*($J$10/100/12),0)</f>
      </c>
      <c r="W205" s="4">
        <f>IF(M204&gt;0,M204*($J$11/100/12),0)</f>
      </c>
      <c r="X205" s="4">
        <f>IF(N204&gt;0,N204*($J$12/100/12),0)</f>
      </c>
      <c r="Y205" s="4">
        <f>IF(O204&gt;0,O204*($J$13/100/12),0)</f>
      </c>
      <c r="Z205" s="4">
        <f>IF(P204&gt;0,P204*($J$14/100/12),0)</f>
      </c>
      <c r="AA205" s="4">
        <f>IF(G204&lt;=0,0,MIN($K$5,(G204+Q205)))</f>
      </c>
      <c r="AB205" s="4">
        <f>IF(H204&lt;=0,0,MIN($K$6,(H204+R205)))</f>
      </c>
      <c r="AC205" s="4">
        <f>IF(I204&lt;=0,0,MIN($K$7,(I204+S205)))</f>
      </c>
      <c r="AD205" s="4">
        <f>IF(J204&lt;=0,0,MIN($K$8,(J204+T205)))</f>
      </c>
      <c r="AE205" s="4">
        <f>IF(K204&lt;=0,0,MIN($K$9,(K204+U205)))</f>
      </c>
      <c r="AF205" s="4">
        <f>IF(L204&lt;=0,0,MIN($K$10,(L204+V205)))</f>
      </c>
      <c r="AG205" s="4">
        <f>IF(M204&lt;=0,0,MIN($K$11,(M204+W205)))</f>
      </c>
      <c r="AH205" s="4">
        <f>IF(N204&lt;=0,0,MIN($K$12,(N204+X205)))</f>
      </c>
      <c r="AI205" s="4">
        <f>IF(O204&lt;=0,0,MIN($K$13,(O204+Y205)))</f>
      </c>
      <c r="AJ205" s="4">
        <f>IF(P204&lt;=0,0,MIN($K$14,(P204+Z205)))</f>
      </c>
      <c r="AK205" s="4">
        <f>(G204+Q205)-AA205</f>
      </c>
      <c r="AL205" s="4">
        <f>(H204+R205)-AB205</f>
      </c>
      <c r="AM205" s="4">
        <f>(I204+S205)-AC205</f>
      </c>
      <c r="AN205" s="4">
        <f>(J204+T205)-AD205</f>
      </c>
      <c r="AO205" s="4">
        <f>(K204+U205)-AE205</f>
      </c>
      <c r="AP205" s="4">
        <f>(L204+V205)-AF205</f>
      </c>
      <c r="AQ205" s="4">
        <f>(M204+W205)-AG205</f>
      </c>
      <c r="AR205" s="4">
        <f>(N204+X205)-AH205</f>
      </c>
      <c r="AS205" s="4">
        <f>(O204+Y205)-AI205</f>
      </c>
      <c r="AT205" s="4">
        <f>(P204+Z205)-AJ205</f>
      </c>
      <c r="AU205" s="4">
        <f>$B$16+SUM($K$5:$K$14)-SUM(AA205:AJ205)</f>
      </c>
      <c r="AV205" s="4">
        <f>AU205-BE205</f>
      </c>
      <c r="AW205" s="4">
        <f>AV205-BF205</f>
      </c>
      <c r="AX205" s="4">
        <f>AW205-BG205</f>
      </c>
      <c r="AY205" s="4">
        <f>AX205-BH205</f>
      </c>
      <c r="AZ205" s="4">
        <f>AY205-BI205</f>
      </c>
      <c r="BA205" s="4">
        <f>AZ205-BJ205</f>
      </c>
      <c r="BB205" s="4">
        <f>BA205-BK205</f>
      </c>
      <c r="BC205" s="4">
        <f>BB205-BL205</f>
      </c>
      <c r="BD205" s="4">
        <f>BC205-BM205</f>
      </c>
      <c r="BE205" s="4">
        <f>IF(G204&lt;=0,0,MIN(AU205,AK205))</f>
      </c>
      <c r="BF205" s="4">
        <f>IF(H204&lt;=0,0,MIN(AV205,AL205))</f>
      </c>
      <c r="BG205" s="4">
        <f>IF(I204&lt;=0,0,MIN(AW205,AM205))</f>
      </c>
      <c r="BH205" s="4">
        <f>IF(J204&lt;=0,0,MIN(AX205,AN205))</f>
      </c>
      <c r="BI205" s="4">
        <f>IF(K204&lt;=0,0,MIN(AY205,AO205))</f>
      </c>
      <c r="BJ205" s="4">
        <f>IF(L204&lt;=0,0,MIN(AZ205,AP205))</f>
      </c>
      <c r="BK205" s="4">
        <f>IF(M204&lt;=0,0,MIN(BA205,AQ205))</f>
      </c>
      <c r="BL205" s="4">
        <f>IF(N204&lt;=0,0,MIN(BB205,AR205))</f>
      </c>
      <c r="BM205" s="4">
        <f>IF(O204&lt;=0,0,MIN(BC205,AS205))</f>
      </c>
      <c r="BN205" s="4">
        <f>IF(P204&lt;=0,0,MIN(BD205,AT205))</f>
      </c>
    </row>
    <row r="206" spans="1:66" x14ac:dyDescent="0.25">
      <c r="A206">
        <v>179</v>
      </c>
      <c r="B206" s="7">
        <f>EDATE($B$17,179)</f>
      </c>
      <c r="C206" s="4">
        <f>SUM(G206:P206)</f>
      </c>
      <c r="D206" s="4">
        <f>SUM(Q206:Z206)</f>
      </c>
      <c r="E206" s="4">
        <f>SUM(AA206:AJ206)+SUM(BE206:BN206)</f>
      </c>
      <c r="G206" s="4">
        <f>MAX(0,AK206-BE206)</f>
      </c>
      <c r="H206" s="4">
        <f>MAX(0,AL206-BF206)</f>
      </c>
      <c r="I206" s="4">
        <f>MAX(0,AM206-BG206)</f>
      </c>
      <c r="J206" s="4">
        <f>MAX(0,AN206-BH206)</f>
      </c>
      <c r="K206" s="4">
        <f>MAX(0,AO206-BI206)</f>
      </c>
      <c r="L206" s="4">
        <f>MAX(0,AP206-BJ206)</f>
      </c>
      <c r="M206" s="4">
        <f>MAX(0,AQ206-BK206)</f>
      </c>
      <c r="N206" s="4">
        <f>MAX(0,AR206-BL206)</f>
      </c>
      <c r="O206" s="4">
        <f>MAX(0,AS206-BM206)</f>
      </c>
      <c r="P206" s="4">
        <f>MAX(0,AT206-BN206)</f>
      </c>
      <c r="Q206" s="4">
        <f>IF(G205&gt;0,G205*($J$5/100/12),0)</f>
      </c>
      <c r="R206" s="4">
        <f>IF(H205&gt;0,H205*($J$6/100/12),0)</f>
      </c>
      <c r="S206" s="4">
        <f>IF(I205&gt;0,I205*($J$7/100/12),0)</f>
      </c>
      <c r="T206" s="4">
        <f>IF(J205&gt;0,J205*($J$8/100/12),0)</f>
      </c>
      <c r="U206" s="4">
        <f>IF(K205&gt;0,K205*($J$9/100/12),0)</f>
      </c>
      <c r="V206" s="4">
        <f>IF(L205&gt;0,L205*($J$10/100/12),0)</f>
      </c>
      <c r="W206" s="4">
        <f>IF(M205&gt;0,M205*($J$11/100/12),0)</f>
      </c>
      <c r="X206" s="4">
        <f>IF(N205&gt;0,N205*($J$12/100/12),0)</f>
      </c>
      <c r="Y206" s="4">
        <f>IF(O205&gt;0,O205*($J$13/100/12),0)</f>
      </c>
      <c r="Z206" s="4">
        <f>IF(P205&gt;0,P205*($J$14/100/12),0)</f>
      </c>
      <c r="AA206" s="4">
        <f>IF(G205&lt;=0,0,MIN($K$5,(G205+Q206)))</f>
      </c>
      <c r="AB206" s="4">
        <f>IF(H205&lt;=0,0,MIN($K$6,(H205+R206)))</f>
      </c>
      <c r="AC206" s="4">
        <f>IF(I205&lt;=0,0,MIN($K$7,(I205+S206)))</f>
      </c>
      <c r="AD206" s="4">
        <f>IF(J205&lt;=0,0,MIN($K$8,(J205+T206)))</f>
      </c>
      <c r="AE206" s="4">
        <f>IF(K205&lt;=0,0,MIN($K$9,(K205+U206)))</f>
      </c>
      <c r="AF206" s="4">
        <f>IF(L205&lt;=0,0,MIN($K$10,(L205+V206)))</f>
      </c>
      <c r="AG206" s="4">
        <f>IF(M205&lt;=0,0,MIN($K$11,(M205+W206)))</f>
      </c>
      <c r="AH206" s="4">
        <f>IF(N205&lt;=0,0,MIN($K$12,(N205+X206)))</f>
      </c>
      <c r="AI206" s="4">
        <f>IF(O205&lt;=0,0,MIN($K$13,(O205+Y206)))</f>
      </c>
      <c r="AJ206" s="4">
        <f>IF(P205&lt;=0,0,MIN($K$14,(P205+Z206)))</f>
      </c>
      <c r="AK206" s="4">
        <f>(G205+Q206)-AA206</f>
      </c>
      <c r="AL206" s="4">
        <f>(H205+R206)-AB206</f>
      </c>
      <c r="AM206" s="4">
        <f>(I205+S206)-AC206</f>
      </c>
      <c r="AN206" s="4">
        <f>(J205+T206)-AD206</f>
      </c>
      <c r="AO206" s="4">
        <f>(K205+U206)-AE206</f>
      </c>
      <c r="AP206" s="4">
        <f>(L205+V206)-AF206</f>
      </c>
      <c r="AQ206" s="4">
        <f>(M205+W206)-AG206</f>
      </c>
      <c r="AR206" s="4">
        <f>(N205+X206)-AH206</f>
      </c>
      <c r="AS206" s="4">
        <f>(O205+Y206)-AI206</f>
      </c>
      <c r="AT206" s="4">
        <f>(P205+Z206)-AJ206</f>
      </c>
      <c r="AU206" s="4">
        <f>$B$16+SUM($K$5:$K$14)-SUM(AA206:AJ206)</f>
      </c>
      <c r="AV206" s="4">
        <f>AU206-BE206</f>
      </c>
      <c r="AW206" s="4">
        <f>AV206-BF206</f>
      </c>
      <c r="AX206" s="4">
        <f>AW206-BG206</f>
      </c>
      <c r="AY206" s="4">
        <f>AX206-BH206</f>
      </c>
      <c r="AZ206" s="4">
        <f>AY206-BI206</f>
      </c>
      <c r="BA206" s="4">
        <f>AZ206-BJ206</f>
      </c>
      <c r="BB206" s="4">
        <f>BA206-BK206</f>
      </c>
      <c r="BC206" s="4">
        <f>BB206-BL206</f>
      </c>
      <c r="BD206" s="4">
        <f>BC206-BM206</f>
      </c>
      <c r="BE206" s="4">
        <f>IF(G205&lt;=0,0,MIN(AU206,AK206))</f>
      </c>
      <c r="BF206" s="4">
        <f>IF(H205&lt;=0,0,MIN(AV206,AL206))</f>
      </c>
      <c r="BG206" s="4">
        <f>IF(I205&lt;=0,0,MIN(AW206,AM206))</f>
      </c>
      <c r="BH206" s="4">
        <f>IF(J205&lt;=0,0,MIN(AX206,AN206))</f>
      </c>
      <c r="BI206" s="4">
        <f>IF(K205&lt;=0,0,MIN(AY206,AO206))</f>
      </c>
      <c r="BJ206" s="4">
        <f>IF(L205&lt;=0,0,MIN(AZ206,AP206))</f>
      </c>
      <c r="BK206" s="4">
        <f>IF(M205&lt;=0,0,MIN(BA206,AQ206))</f>
      </c>
      <c r="BL206" s="4">
        <f>IF(N205&lt;=0,0,MIN(BB206,AR206))</f>
      </c>
      <c r="BM206" s="4">
        <f>IF(O205&lt;=0,0,MIN(BC206,AS206))</f>
      </c>
      <c r="BN206" s="4">
        <f>IF(P205&lt;=0,0,MIN(BD206,AT206))</f>
      </c>
    </row>
    <row r="207" spans="1:66" x14ac:dyDescent="0.25">
      <c r="A207">
        <v>180</v>
      </c>
      <c r="B207" s="7">
        <f>EDATE($B$17,180)</f>
      </c>
      <c r="C207" s="4">
        <f>SUM(G207:P207)</f>
      </c>
      <c r="D207" s="4">
        <f>SUM(Q207:Z207)</f>
      </c>
      <c r="E207" s="4">
        <f>SUM(AA207:AJ207)+SUM(BE207:BN207)</f>
      </c>
      <c r="G207" s="4">
        <f>MAX(0,AK207-BE207)</f>
      </c>
      <c r="H207" s="4">
        <f>MAX(0,AL207-BF207)</f>
      </c>
      <c r="I207" s="4">
        <f>MAX(0,AM207-BG207)</f>
      </c>
      <c r="J207" s="4">
        <f>MAX(0,AN207-BH207)</f>
      </c>
      <c r="K207" s="4">
        <f>MAX(0,AO207-BI207)</f>
      </c>
      <c r="L207" s="4">
        <f>MAX(0,AP207-BJ207)</f>
      </c>
      <c r="M207" s="4">
        <f>MAX(0,AQ207-BK207)</f>
      </c>
      <c r="N207" s="4">
        <f>MAX(0,AR207-BL207)</f>
      </c>
      <c r="O207" s="4">
        <f>MAX(0,AS207-BM207)</f>
      </c>
      <c r="P207" s="4">
        <f>MAX(0,AT207-BN207)</f>
      </c>
      <c r="Q207" s="4">
        <f>IF(G206&gt;0,G206*($J$5/100/12),0)</f>
      </c>
      <c r="R207" s="4">
        <f>IF(H206&gt;0,H206*($J$6/100/12),0)</f>
      </c>
      <c r="S207" s="4">
        <f>IF(I206&gt;0,I206*($J$7/100/12),0)</f>
      </c>
      <c r="T207" s="4">
        <f>IF(J206&gt;0,J206*($J$8/100/12),0)</f>
      </c>
      <c r="U207" s="4">
        <f>IF(K206&gt;0,K206*($J$9/100/12),0)</f>
      </c>
      <c r="V207" s="4">
        <f>IF(L206&gt;0,L206*($J$10/100/12),0)</f>
      </c>
      <c r="W207" s="4">
        <f>IF(M206&gt;0,M206*($J$11/100/12),0)</f>
      </c>
      <c r="X207" s="4">
        <f>IF(N206&gt;0,N206*($J$12/100/12),0)</f>
      </c>
      <c r="Y207" s="4">
        <f>IF(O206&gt;0,O206*($J$13/100/12),0)</f>
      </c>
      <c r="Z207" s="4">
        <f>IF(P206&gt;0,P206*($J$14/100/12),0)</f>
      </c>
      <c r="AA207" s="4">
        <f>IF(G206&lt;=0,0,MIN($K$5,(G206+Q207)))</f>
      </c>
      <c r="AB207" s="4">
        <f>IF(H206&lt;=0,0,MIN($K$6,(H206+R207)))</f>
      </c>
      <c r="AC207" s="4">
        <f>IF(I206&lt;=0,0,MIN($K$7,(I206+S207)))</f>
      </c>
      <c r="AD207" s="4">
        <f>IF(J206&lt;=0,0,MIN($K$8,(J206+T207)))</f>
      </c>
      <c r="AE207" s="4">
        <f>IF(K206&lt;=0,0,MIN($K$9,(K206+U207)))</f>
      </c>
      <c r="AF207" s="4">
        <f>IF(L206&lt;=0,0,MIN($K$10,(L206+V207)))</f>
      </c>
      <c r="AG207" s="4">
        <f>IF(M206&lt;=0,0,MIN($K$11,(M206+W207)))</f>
      </c>
      <c r="AH207" s="4">
        <f>IF(N206&lt;=0,0,MIN($K$12,(N206+X207)))</f>
      </c>
      <c r="AI207" s="4">
        <f>IF(O206&lt;=0,0,MIN($K$13,(O206+Y207)))</f>
      </c>
      <c r="AJ207" s="4">
        <f>IF(P206&lt;=0,0,MIN($K$14,(P206+Z207)))</f>
      </c>
      <c r="AK207" s="4">
        <f>(G206+Q207)-AA207</f>
      </c>
      <c r="AL207" s="4">
        <f>(H206+R207)-AB207</f>
      </c>
      <c r="AM207" s="4">
        <f>(I206+S207)-AC207</f>
      </c>
      <c r="AN207" s="4">
        <f>(J206+T207)-AD207</f>
      </c>
      <c r="AO207" s="4">
        <f>(K206+U207)-AE207</f>
      </c>
      <c r="AP207" s="4">
        <f>(L206+V207)-AF207</f>
      </c>
      <c r="AQ207" s="4">
        <f>(M206+W207)-AG207</f>
      </c>
      <c r="AR207" s="4">
        <f>(N206+X207)-AH207</f>
      </c>
      <c r="AS207" s="4">
        <f>(O206+Y207)-AI207</f>
      </c>
      <c r="AT207" s="4">
        <f>(P206+Z207)-AJ207</f>
      </c>
      <c r="AU207" s="4">
        <f>$B$16+SUM($K$5:$K$14)-SUM(AA207:AJ207)</f>
      </c>
      <c r="AV207" s="4">
        <f>AU207-BE207</f>
      </c>
      <c r="AW207" s="4">
        <f>AV207-BF207</f>
      </c>
      <c r="AX207" s="4">
        <f>AW207-BG207</f>
      </c>
      <c r="AY207" s="4">
        <f>AX207-BH207</f>
      </c>
      <c r="AZ207" s="4">
        <f>AY207-BI207</f>
      </c>
      <c r="BA207" s="4">
        <f>AZ207-BJ207</f>
      </c>
      <c r="BB207" s="4">
        <f>BA207-BK207</f>
      </c>
      <c r="BC207" s="4">
        <f>BB207-BL207</f>
      </c>
      <c r="BD207" s="4">
        <f>BC207-BM207</f>
      </c>
      <c r="BE207" s="4">
        <f>IF(G206&lt;=0,0,MIN(AU207,AK207))</f>
      </c>
      <c r="BF207" s="4">
        <f>IF(H206&lt;=0,0,MIN(AV207,AL207))</f>
      </c>
      <c r="BG207" s="4">
        <f>IF(I206&lt;=0,0,MIN(AW207,AM207))</f>
      </c>
      <c r="BH207" s="4">
        <f>IF(J206&lt;=0,0,MIN(AX207,AN207))</f>
      </c>
      <c r="BI207" s="4">
        <f>IF(K206&lt;=0,0,MIN(AY207,AO207))</f>
      </c>
      <c r="BJ207" s="4">
        <f>IF(L206&lt;=0,0,MIN(AZ207,AP207))</f>
      </c>
      <c r="BK207" s="4">
        <f>IF(M206&lt;=0,0,MIN(BA207,AQ207))</f>
      </c>
      <c r="BL207" s="4">
        <f>IF(N206&lt;=0,0,MIN(BB207,AR207))</f>
      </c>
      <c r="BM207" s="4">
        <f>IF(O206&lt;=0,0,MIN(BC207,AS207))</f>
      </c>
      <c r="BN207" s="4">
        <f>IF(P206&lt;=0,0,MIN(BD207,AT207))</f>
      </c>
    </row>
    <row r="208" spans="1:66" x14ac:dyDescent="0.25">
      <c r="A208">
        <v>181</v>
      </c>
      <c r="B208" s="7">
        <f>EDATE($B$17,181)</f>
      </c>
      <c r="C208" s="4">
        <f>SUM(G208:P208)</f>
      </c>
      <c r="D208" s="4">
        <f>SUM(Q208:Z208)</f>
      </c>
      <c r="E208" s="4">
        <f>SUM(AA208:AJ208)+SUM(BE208:BN208)</f>
      </c>
      <c r="G208" s="4">
        <f>MAX(0,AK208-BE208)</f>
      </c>
      <c r="H208" s="4">
        <f>MAX(0,AL208-BF208)</f>
      </c>
      <c r="I208" s="4">
        <f>MAX(0,AM208-BG208)</f>
      </c>
      <c r="J208" s="4">
        <f>MAX(0,AN208-BH208)</f>
      </c>
      <c r="K208" s="4">
        <f>MAX(0,AO208-BI208)</f>
      </c>
      <c r="L208" s="4">
        <f>MAX(0,AP208-BJ208)</f>
      </c>
      <c r="M208" s="4">
        <f>MAX(0,AQ208-BK208)</f>
      </c>
      <c r="N208" s="4">
        <f>MAX(0,AR208-BL208)</f>
      </c>
      <c r="O208" s="4">
        <f>MAX(0,AS208-BM208)</f>
      </c>
      <c r="P208" s="4">
        <f>MAX(0,AT208-BN208)</f>
      </c>
      <c r="Q208" s="4">
        <f>IF(G207&gt;0,G207*($J$5/100/12),0)</f>
      </c>
      <c r="R208" s="4">
        <f>IF(H207&gt;0,H207*($J$6/100/12),0)</f>
      </c>
      <c r="S208" s="4">
        <f>IF(I207&gt;0,I207*($J$7/100/12),0)</f>
      </c>
      <c r="T208" s="4">
        <f>IF(J207&gt;0,J207*($J$8/100/12),0)</f>
      </c>
      <c r="U208" s="4">
        <f>IF(K207&gt;0,K207*($J$9/100/12),0)</f>
      </c>
      <c r="V208" s="4">
        <f>IF(L207&gt;0,L207*($J$10/100/12),0)</f>
      </c>
      <c r="W208" s="4">
        <f>IF(M207&gt;0,M207*($J$11/100/12),0)</f>
      </c>
      <c r="X208" s="4">
        <f>IF(N207&gt;0,N207*($J$12/100/12),0)</f>
      </c>
      <c r="Y208" s="4">
        <f>IF(O207&gt;0,O207*($J$13/100/12),0)</f>
      </c>
      <c r="Z208" s="4">
        <f>IF(P207&gt;0,P207*($J$14/100/12),0)</f>
      </c>
      <c r="AA208" s="4">
        <f>IF(G207&lt;=0,0,MIN($K$5,(G207+Q208)))</f>
      </c>
      <c r="AB208" s="4">
        <f>IF(H207&lt;=0,0,MIN($K$6,(H207+R208)))</f>
      </c>
      <c r="AC208" s="4">
        <f>IF(I207&lt;=0,0,MIN($K$7,(I207+S208)))</f>
      </c>
      <c r="AD208" s="4">
        <f>IF(J207&lt;=0,0,MIN($K$8,(J207+T208)))</f>
      </c>
      <c r="AE208" s="4">
        <f>IF(K207&lt;=0,0,MIN($K$9,(K207+U208)))</f>
      </c>
      <c r="AF208" s="4">
        <f>IF(L207&lt;=0,0,MIN($K$10,(L207+V208)))</f>
      </c>
      <c r="AG208" s="4">
        <f>IF(M207&lt;=0,0,MIN($K$11,(M207+W208)))</f>
      </c>
      <c r="AH208" s="4">
        <f>IF(N207&lt;=0,0,MIN($K$12,(N207+X208)))</f>
      </c>
      <c r="AI208" s="4">
        <f>IF(O207&lt;=0,0,MIN($K$13,(O207+Y208)))</f>
      </c>
      <c r="AJ208" s="4">
        <f>IF(P207&lt;=0,0,MIN($K$14,(P207+Z208)))</f>
      </c>
      <c r="AK208" s="4">
        <f>(G207+Q208)-AA208</f>
      </c>
      <c r="AL208" s="4">
        <f>(H207+R208)-AB208</f>
      </c>
      <c r="AM208" s="4">
        <f>(I207+S208)-AC208</f>
      </c>
      <c r="AN208" s="4">
        <f>(J207+T208)-AD208</f>
      </c>
      <c r="AO208" s="4">
        <f>(K207+U208)-AE208</f>
      </c>
      <c r="AP208" s="4">
        <f>(L207+V208)-AF208</f>
      </c>
      <c r="AQ208" s="4">
        <f>(M207+W208)-AG208</f>
      </c>
      <c r="AR208" s="4">
        <f>(N207+X208)-AH208</f>
      </c>
      <c r="AS208" s="4">
        <f>(O207+Y208)-AI208</f>
      </c>
      <c r="AT208" s="4">
        <f>(P207+Z208)-AJ208</f>
      </c>
      <c r="AU208" s="4">
        <f>$B$16+SUM($K$5:$K$14)-SUM(AA208:AJ208)</f>
      </c>
      <c r="AV208" s="4">
        <f>AU208-BE208</f>
      </c>
      <c r="AW208" s="4">
        <f>AV208-BF208</f>
      </c>
      <c r="AX208" s="4">
        <f>AW208-BG208</f>
      </c>
      <c r="AY208" s="4">
        <f>AX208-BH208</f>
      </c>
      <c r="AZ208" s="4">
        <f>AY208-BI208</f>
      </c>
      <c r="BA208" s="4">
        <f>AZ208-BJ208</f>
      </c>
      <c r="BB208" s="4">
        <f>BA208-BK208</f>
      </c>
      <c r="BC208" s="4">
        <f>BB208-BL208</f>
      </c>
      <c r="BD208" s="4">
        <f>BC208-BM208</f>
      </c>
      <c r="BE208" s="4">
        <f>IF(G207&lt;=0,0,MIN(AU208,AK208))</f>
      </c>
      <c r="BF208" s="4">
        <f>IF(H207&lt;=0,0,MIN(AV208,AL208))</f>
      </c>
      <c r="BG208" s="4">
        <f>IF(I207&lt;=0,0,MIN(AW208,AM208))</f>
      </c>
      <c r="BH208" s="4">
        <f>IF(J207&lt;=0,0,MIN(AX208,AN208))</f>
      </c>
      <c r="BI208" s="4">
        <f>IF(K207&lt;=0,0,MIN(AY208,AO208))</f>
      </c>
      <c r="BJ208" s="4">
        <f>IF(L207&lt;=0,0,MIN(AZ208,AP208))</f>
      </c>
      <c r="BK208" s="4">
        <f>IF(M207&lt;=0,0,MIN(BA208,AQ208))</f>
      </c>
      <c r="BL208" s="4">
        <f>IF(N207&lt;=0,0,MIN(BB208,AR208))</f>
      </c>
      <c r="BM208" s="4">
        <f>IF(O207&lt;=0,0,MIN(BC208,AS208))</f>
      </c>
      <c r="BN208" s="4">
        <f>IF(P207&lt;=0,0,MIN(BD208,AT208))</f>
      </c>
    </row>
    <row r="209" spans="1:66" x14ac:dyDescent="0.25">
      <c r="A209">
        <v>182</v>
      </c>
      <c r="B209" s="7">
        <f>EDATE($B$17,182)</f>
      </c>
      <c r="C209" s="4">
        <f>SUM(G209:P209)</f>
      </c>
      <c r="D209" s="4">
        <f>SUM(Q209:Z209)</f>
      </c>
      <c r="E209" s="4">
        <f>SUM(AA209:AJ209)+SUM(BE209:BN209)</f>
      </c>
      <c r="G209" s="4">
        <f>MAX(0,AK209-BE209)</f>
      </c>
      <c r="H209" s="4">
        <f>MAX(0,AL209-BF209)</f>
      </c>
      <c r="I209" s="4">
        <f>MAX(0,AM209-BG209)</f>
      </c>
      <c r="J209" s="4">
        <f>MAX(0,AN209-BH209)</f>
      </c>
      <c r="K209" s="4">
        <f>MAX(0,AO209-BI209)</f>
      </c>
      <c r="L209" s="4">
        <f>MAX(0,AP209-BJ209)</f>
      </c>
      <c r="M209" s="4">
        <f>MAX(0,AQ209-BK209)</f>
      </c>
      <c r="N209" s="4">
        <f>MAX(0,AR209-BL209)</f>
      </c>
      <c r="O209" s="4">
        <f>MAX(0,AS209-BM209)</f>
      </c>
      <c r="P209" s="4">
        <f>MAX(0,AT209-BN209)</f>
      </c>
      <c r="Q209" s="4">
        <f>IF(G208&gt;0,G208*($J$5/100/12),0)</f>
      </c>
      <c r="R209" s="4">
        <f>IF(H208&gt;0,H208*($J$6/100/12),0)</f>
      </c>
      <c r="S209" s="4">
        <f>IF(I208&gt;0,I208*($J$7/100/12),0)</f>
      </c>
      <c r="T209" s="4">
        <f>IF(J208&gt;0,J208*($J$8/100/12),0)</f>
      </c>
      <c r="U209" s="4">
        <f>IF(K208&gt;0,K208*($J$9/100/12),0)</f>
      </c>
      <c r="V209" s="4">
        <f>IF(L208&gt;0,L208*($J$10/100/12),0)</f>
      </c>
      <c r="W209" s="4">
        <f>IF(M208&gt;0,M208*($J$11/100/12),0)</f>
      </c>
      <c r="X209" s="4">
        <f>IF(N208&gt;0,N208*($J$12/100/12),0)</f>
      </c>
      <c r="Y209" s="4">
        <f>IF(O208&gt;0,O208*($J$13/100/12),0)</f>
      </c>
      <c r="Z209" s="4">
        <f>IF(P208&gt;0,P208*($J$14/100/12),0)</f>
      </c>
      <c r="AA209" s="4">
        <f>IF(G208&lt;=0,0,MIN($K$5,(G208+Q209)))</f>
      </c>
      <c r="AB209" s="4">
        <f>IF(H208&lt;=0,0,MIN($K$6,(H208+R209)))</f>
      </c>
      <c r="AC209" s="4">
        <f>IF(I208&lt;=0,0,MIN($K$7,(I208+S209)))</f>
      </c>
      <c r="AD209" s="4">
        <f>IF(J208&lt;=0,0,MIN($K$8,(J208+T209)))</f>
      </c>
      <c r="AE209" s="4">
        <f>IF(K208&lt;=0,0,MIN($K$9,(K208+U209)))</f>
      </c>
      <c r="AF209" s="4">
        <f>IF(L208&lt;=0,0,MIN($K$10,(L208+V209)))</f>
      </c>
      <c r="AG209" s="4">
        <f>IF(M208&lt;=0,0,MIN($K$11,(M208+W209)))</f>
      </c>
      <c r="AH209" s="4">
        <f>IF(N208&lt;=0,0,MIN($K$12,(N208+X209)))</f>
      </c>
      <c r="AI209" s="4">
        <f>IF(O208&lt;=0,0,MIN($K$13,(O208+Y209)))</f>
      </c>
      <c r="AJ209" s="4">
        <f>IF(P208&lt;=0,0,MIN($K$14,(P208+Z209)))</f>
      </c>
      <c r="AK209" s="4">
        <f>(G208+Q209)-AA209</f>
      </c>
      <c r="AL209" s="4">
        <f>(H208+R209)-AB209</f>
      </c>
      <c r="AM209" s="4">
        <f>(I208+S209)-AC209</f>
      </c>
      <c r="AN209" s="4">
        <f>(J208+T209)-AD209</f>
      </c>
      <c r="AO209" s="4">
        <f>(K208+U209)-AE209</f>
      </c>
      <c r="AP209" s="4">
        <f>(L208+V209)-AF209</f>
      </c>
      <c r="AQ209" s="4">
        <f>(M208+W209)-AG209</f>
      </c>
      <c r="AR209" s="4">
        <f>(N208+X209)-AH209</f>
      </c>
      <c r="AS209" s="4">
        <f>(O208+Y209)-AI209</f>
      </c>
      <c r="AT209" s="4">
        <f>(P208+Z209)-AJ209</f>
      </c>
      <c r="AU209" s="4">
        <f>$B$16+SUM($K$5:$K$14)-SUM(AA209:AJ209)</f>
      </c>
      <c r="AV209" s="4">
        <f>AU209-BE209</f>
      </c>
      <c r="AW209" s="4">
        <f>AV209-BF209</f>
      </c>
      <c r="AX209" s="4">
        <f>AW209-BG209</f>
      </c>
      <c r="AY209" s="4">
        <f>AX209-BH209</f>
      </c>
      <c r="AZ209" s="4">
        <f>AY209-BI209</f>
      </c>
      <c r="BA209" s="4">
        <f>AZ209-BJ209</f>
      </c>
      <c r="BB209" s="4">
        <f>BA209-BK209</f>
      </c>
      <c r="BC209" s="4">
        <f>BB209-BL209</f>
      </c>
      <c r="BD209" s="4">
        <f>BC209-BM209</f>
      </c>
      <c r="BE209" s="4">
        <f>IF(G208&lt;=0,0,MIN(AU209,AK209))</f>
      </c>
      <c r="BF209" s="4">
        <f>IF(H208&lt;=0,0,MIN(AV209,AL209))</f>
      </c>
      <c r="BG209" s="4">
        <f>IF(I208&lt;=0,0,MIN(AW209,AM209))</f>
      </c>
      <c r="BH209" s="4">
        <f>IF(J208&lt;=0,0,MIN(AX209,AN209))</f>
      </c>
      <c r="BI209" s="4">
        <f>IF(K208&lt;=0,0,MIN(AY209,AO209))</f>
      </c>
      <c r="BJ209" s="4">
        <f>IF(L208&lt;=0,0,MIN(AZ209,AP209))</f>
      </c>
      <c r="BK209" s="4">
        <f>IF(M208&lt;=0,0,MIN(BA209,AQ209))</f>
      </c>
      <c r="BL209" s="4">
        <f>IF(N208&lt;=0,0,MIN(BB209,AR209))</f>
      </c>
      <c r="BM209" s="4">
        <f>IF(O208&lt;=0,0,MIN(BC209,AS209))</f>
      </c>
      <c r="BN209" s="4">
        <f>IF(P208&lt;=0,0,MIN(BD209,AT209))</f>
      </c>
    </row>
    <row r="210" spans="1:66" x14ac:dyDescent="0.25">
      <c r="A210">
        <v>183</v>
      </c>
      <c r="B210" s="7">
        <f>EDATE($B$17,183)</f>
      </c>
      <c r="C210" s="4">
        <f>SUM(G210:P210)</f>
      </c>
      <c r="D210" s="4">
        <f>SUM(Q210:Z210)</f>
      </c>
      <c r="E210" s="4">
        <f>SUM(AA210:AJ210)+SUM(BE210:BN210)</f>
      </c>
      <c r="G210" s="4">
        <f>MAX(0,AK210-BE210)</f>
      </c>
      <c r="H210" s="4">
        <f>MAX(0,AL210-BF210)</f>
      </c>
      <c r="I210" s="4">
        <f>MAX(0,AM210-BG210)</f>
      </c>
      <c r="J210" s="4">
        <f>MAX(0,AN210-BH210)</f>
      </c>
      <c r="K210" s="4">
        <f>MAX(0,AO210-BI210)</f>
      </c>
      <c r="L210" s="4">
        <f>MAX(0,AP210-BJ210)</f>
      </c>
      <c r="M210" s="4">
        <f>MAX(0,AQ210-BK210)</f>
      </c>
      <c r="N210" s="4">
        <f>MAX(0,AR210-BL210)</f>
      </c>
      <c r="O210" s="4">
        <f>MAX(0,AS210-BM210)</f>
      </c>
      <c r="P210" s="4">
        <f>MAX(0,AT210-BN210)</f>
      </c>
      <c r="Q210" s="4">
        <f>IF(G209&gt;0,G209*($J$5/100/12),0)</f>
      </c>
      <c r="R210" s="4">
        <f>IF(H209&gt;0,H209*($J$6/100/12),0)</f>
      </c>
      <c r="S210" s="4">
        <f>IF(I209&gt;0,I209*($J$7/100/12),0)</f>
      </c>
      <c r="T210" s="4">
        <f>IF(J209&gt;0,J209*($J$8/100/12),0)</f>
      </c>
      <c r="U210" s="4">
        <f>IF(K209&gt;0,K209*($J$9/100/12),0)</f>
      </c>
      <c r="V210" s="4">
        <f>IF(L209&gt;0,L209*($J$10/100/12),0)</f>
      </c>
      <c r="W210" s="4">
        <f>IF(M209&gt;0,M209*($J$11/100/12),0)</f>
      </c>
      <c r="X210" s="4">
        <f>IF(N209&gt;0,N209*($J$12/100/12),0)</f>
      </c>
      <c r="Y210" s="4">
        <f>IF(O209&gt;0,O209*($J$13/100/12),0)</f>
      </c>
      <c r="Z210" s="4">
        <f>IF(P209&gt;0,P209*($J$14/100/12),0)</f>
      </c>
      <c r="AA210" s="4">
        <f>IF(G209&lt;=0,0,MIN($K$5,(G209+Q210)))</f>
      </c>
      <c r="AB210" s="4">
        <f>IF(H209&lt;=0,0,MIN($K$6,(H209+R210)))</f>
      </c>
      <c r="AC210" s="4">
        <f>IF(I209&lt;=0,0,MIN($K$7,(I209+S210)))</f>
      </c>
      <c r="AD210" s="4">
        <f>IF(J209&lt;=0,0,MIN($K$8,(J209+T210)))</f>
      </c>
      <c r="AE210" s="4">
        <f>IF(K209&lt;=0,0,MIN($K$9,(K209+U210)))</f>
      </c>
      <c r="AF210" s="4">
        <f>IF(L209&lt;=0,0,MIN($K$10,(L209+V210)))</f>
      </c>
      <c r="AG210" s="4">
        <f>IF(M209&lt;=0,0,MIN($K$11,(M209+W210)))</f>
      </c>
      <c r="AH210" s="4">
        <f>IF(N209&lt;=0,0,MIN($K$12,(N209+X210)))</f>
      </c>
      <c r="AI210" s="4">
        <f>IF(O209&lt;=0,0,MIN($K$13,(O209+Y210)))</f>
      </c>
      <c r="AJ210" s="4">
        <f>IF(P209&lt;=0,0,MIN($K$14,(P209+Z210)))</f>
      </c>
      <c r="AK210" s="4">
        <f>(G209+Q210)-AA210</f>
      </c>
      <c r="AL210" s="4">
        <f>(H209+R210)-AB210</f>
      </c>
      <c r="AM210" s="4">
        <f>(I209+S210)-AC210</f>
      </c>
      <c r="AN210" s="4">
        <f>(J209+T210)-AD210</f>
      </c>
      <c r="AO210" s="4">
        <f>(K209+U210)-AE210</f>
      </c>
      <c r="AP210" s="4">
        <f>(L209+V210)-AF210</f>
      </c>
      <c r="AQ210" s="4">
        <f>(M209+W210)-AG210</f>
      </c>
      <c r="AR210" s="4">
        <f>(N209+X210)-AH210</f>
      </c>
      <c r="AS210" s="4">
        <f>(O209+Y210)-AI210</f>
      </c>
      <c r="AT210" s="4">
        <f>(P209+Z210)-AJ210</f>
      </c>
      <c r="AU210" s="4">
        <f>$B$16+SUM($K$5:$K$14)-SUM(AA210:AJ210)</f>
      </c>
      <c r="AV210" s="4">
        <f>AU210-BE210</f>
      </c>
      <c r="AW210" s="4">
        <f>AV210-BF210</f>
      </c>
      <c r="AX210" s="4">
        <f>AW210-BG210</f>
      </c>
      <c r="AY210" s="4">
        <f>AX210-BH210</f>
      </c>
      <c r="AZ210" s="4">
        <f>AY210-BI210</f>
      </c>
      <c r="BA210" s="4">
        <f>AZ210-BJ210</f>
      </c>
      <c r="BB210" s="4">
        <f>BA210-BK210</f>
      </c>
      <c r="BC210" s="4">
        <f>BB210-BL210</f>
      </c>
      <c r="BD210" s="4">
        <f>BC210-BM210</f>
      </c>
      <c r="BE210" s="4">
        <f>IF(G209&lt;=0,0,MIN(AU210,AK210))</f>
      </c>
      <c r="BF210" s="4">
        <f>IF(H209&lt;=0,0,MIN(AV210,AL210))</f>
      </c>
      <c r="BG210" s="4">
        <f>IF(I209&lt;=0,0,MIN(AW210,AM210))</f>
      </c>
      <c r="BH210" s="4">
        <f>IF(J209&lt;=0,0,MIN(AX210,AN210))</f>
      </c>
      <c r="BI210" s="4">
        <f>IF(K209&lt;=0,0,MIN(AY210,AO210))</f>
      </c>
      <c r="BJ210" s="4">
        <f>IF(L209&lt;=0,0,MIN(AZ210,AP210))</f>
      </c>
      <c r="BK210" s="4">
        <f>IF(M209&lt;=0,0,MIN(BA210,AQ210))</f>
      </c>
      <c r="BL210" s="4">
        <f>IF(N209&lt;=0,0,MIN(BB210,AR210))</f>
      </c>
      <c r="BM210" s="4">
        <f>IF(O209&lt;=0,0,MIN(BC210,AS210))</f>
      </c>
      <c r="BN210" s="4">
        <f>IF(P209&lt;=0,0,MIN(BD210,AT210))</f>
      </c>
    </row>
    <row r="211" spans="1:66" x14ac:dyDescent="0.25">
      <c r="A211">
        <v>184</v>
      </c>
      <c r="B211" s="7">
        <f>EDATE($B$17,184)</f>
      </c>
      <c r="C211" s="4">
        <f>SUM(G211:P211)</f>
      </c>
      <c r="D211" s="4">
        <f>SUM(Q211:Z211)</f>
      </c>
      <c r="E211" s="4">
        <f>SUM(AA211:AJ211)+SUM(BE211:BN211)</f>
      </c>
      <c r="G211" s="4">
        <f>MAX(0,AK211-BE211)</f>
      </c>
      <c r="H211" s="4">
        <f>MAX(0,AL211-BF211)</f>
      </c>
      <c r="I211" s="4">
        <f>MAX(0,AM211-BG211)</f>
      </c>
      <c r="J211" s="4">
        <f>MAX(0,AN211-BH211)</f>
      </c>
      <c r="K211" s="4">
        <f>MAX(0,AO211-BI211)</f>
      </c>
      <c r="L211" s="4">
        <f>MAX(0,AP211-BJ211)</f>
      </c>
      <c r="M211" s="4">
        <f>MAX(0,AQ211-BK211)</f>
      </c>
      <c r="N211" s="4">
        <f>MAX(0,AR211-BL211)</f>
      </c>
      <c r="O211" s="4">
        <f>MAX(0,AS211-BM211)</f>
      </c>
      <c r="P211" s="4">
        <f>MAX(0,AT211-BN211)</f>
      </c>
      <c r="Q211" s="4">
        <f>IF(G210&gt;0,G210*($J$5/100/12),0)</f>
      </c>
      <c r="R211" s="4">
        <f>IF(H210&gt;0,H210*($J$6/100/12),0)</f>
      </c>
      <c r="S211" s="4">
        <f>IF(I210&gt;0,I210*($J$7/100/12),0)</f>
      </c>
      <c r="T211" s="4">
        <f>IF(J210&gt;0,J210*($J$8/100/12),0)</f>
      </c>
      <c r="U211" s="4">
        <f>IF(K210&gt;0,K210*($J$9/100/12),0)</f>
      </c>
      <c r="V211" s="4">
        <f>IF(L210&gt;0,L210*($J$10/100/12),0)</f>
      </c>
      <c r="W211" s="4">
        <f>IF(M210&gt;0,M210*($J$11/100/12),0)</f>
      </c>
      <c r="X211" s="4">
        <f>IF(N210&gt;0,N210*($J$12/100/12),0)</f>
      </c>
      <c r="Y211" s="4">
        <f>IF(O210&gt;0,O210*($J$13/100/12),0)</f>
      </c>
      <c r="Z211" s="4">
        <f>IF(P210&gt;0,P210*($J$14/100/12),0)</f>
      </c>
      <c r="AA211" s="4">
        <f>IF(G210&lt;=0,0,MIN($K$5,(G210+Q211)))</f>
      </c>
      <c r="AB211" s="4">
        <f>IF(H210&lt;=0,0,MIN($K$6,(H210+R211)))</f>
      </c>
      <c r="AC211" s="4">
        <f>IF(I210&lt;=0,0,MIN($K$7,(I210+S211)))</f>
      </c>
      <c r="AD211" s="4">
        <f>IF(J210&lt;=0,0,MIN($K$8,(J210+T211)))</f>
      </c>
      <c r="AE211" s="4">
        <f>IF(K210&lt;=0,0,MIN($K$9,(K210+U211)))</f>
      </c>
      <c r="AF211" s="4">
        <f>IF(L210&lt;=0,0,MIN($K$10,(L210+V211)))</f>
      </c>
      <c r="AG211" s="4">
        <f>IF(M210&lt;=0,0,MIN($K$11,(M210+W211)))</f>
      </c>
      <c r="AH211" s="4">
        <f>IF(N210&lt;=0,0,MIN($K$12,(N210+X211)))</f>
      </c>
      <c r="AI211" s="4">
        <f>IF(O210&lt;=0,0,MIN($K$13,(O210+Y211)))</f>
      </c>
      <c r="AJ211" s="4">
        <f>IF(P210&lt;=0,0,MIN($K$14,(P210+Z211)))</f>
      </c>
      <c r="AK211" s="4">
        <f>(G210+Q211)-AA211</f>
      </c>
      <c r="AL211" s="4">
        <f>(H210+R211)-AB211</f>
      </c>
      <c r="AM211" s="4">
        <f>(I210+S211)-AC211</f>
      </c>
      <c r="AN211" s="4">
        <f>(J210+T211)-AD211</f>
      </c>
      <c r="AO211" s="4">
        <f>(K210+U211)-AE211</f>
      </c>
      <c r="AP211" s="4">
        <f>(L210+V211)-AF211</f>
      </c>
      <c r="AQ211" s="4">
        <f>(M210+W211)-AG211</f>
      </c>
      <c r="AR211" s="4">
        <f>(N210+X211)-AH211</f>
      </c>
      <c r="AS211" s="4">
        <f>(O210+Y211)-AI211</f>
      </c>
      <c r="AT211" s="4">
        <f>(P210+Z211)-AJ211</f>
      </c>
      <c r="AU211" s="4">
        <f>$B$16+SUM($K$5:$K$14)-SUM(AA211:AJ211)</f>
      </c>
      <c r="AV211" s="4">
        <f>AU211-BE211</f>
      </c>
      <c r="AW211" s="4">
        <f>AV211-BF211</f>
      </c>
      <c r="AX211" s="4">
        <f>AW211-BG211</f>
      </c>
      <c r="AY211" s="4">
        <f>AX211-BH211</f>
      </c>
      <c r="AZ211" s="4">
        <f>AY211-BI211</f>
      </c>
      <c r="BA211" s="4">
        <f>AZ211-BJ211</f>
      </c>
      <c r="BB211" s="4">
        <f>BA211-BK211</f>
      </c>
      <c r="BC211" s="4">
        <f>BB211-BL211</f>
      </c>
      <c r="BD211" s="4">
        <f>BC211-BM211</f>
      </c>
      <c r="BE211" s="4">
        <f>IF(G210&lt;=0,0,MIN(AU211,AK211))</f>
      </c>
      <c r="BF211" s="4">
        <f>IF(H210&lt;=0,0,MIN(AV211,AL211))</f>
      </c>
      <c r="BG211" s="4">
        <f>IF(I210&lt;=0,0,MIN(AW211,AM211))</f>
      </c>
      <c r="BH211" s="4">
        <f>IF(J210&lt;=0,0,MIN(AX211,AN211))</f>
      </c>
      <c r="BI211" s="4">
        <f>IF(K210&lt;=0,0,MIN(AY211,AO211))</f>
      </c>
      <c r="BJ211" s="4">
        <f>IF(L210&lt;=0,0,MIN(AZ211,AP211))</f>
      </c>
      <c r="BK211" s="4">
        <f>IF(M210&lt;=0,0,MIN(BA211,AQ211))</f>
      </c>
      <c r="BL211" s="4">
        <f>IF(N210&lt;=0,0,MIN(BB211,AR211))</f>
      </c>
      <c r="BM211" s="4">
        <f>IF(O210&lt;=0,0,MIN(BC211,AS211))</f>
      </c>
      <c r="BN211" s="4">
        <f>IF(P210&lt;=0,0,MIN(BD211,AT211))</f>
      </c>
    </row>
    <row r="212" spans="1:66" x14ac:dyDescent="0.25">
      <c r="A212">
        <v>185</v>
      </c>
      <c r="B212" s="7">
        <f>EDATE($B$17,185)</f>
      </c>
      <c r="C212" s="4">
        <f>SUM(G212:P212)</f>
      </c>
      <c r="D212" s="4">
        <f>SUM(Q212:Z212)</f>
      </c>
      <c r="E212" s="4">
        <f>SUM(AA212:AJ212)+SUM(BE212:BN212)</f>
      </c>
      <c r="G212" s="4">
        <f>MAX(0,AK212-BE212)</f>
      </c>
      <c r="H212" s="4">
        <f>MAX(0,AL212-BF212)</f>
      </c>
      <c r="I212" s="4">
        <f>MAX(0,AM212-BG212)</f>
      </c>
      <c r="J212" s="4">
        <f>MAX(0,AN212-BH212)</f>
      </c>
      <c r="K212" s="4">
        <f>MAX(0,AO212-BI212)</f>
      </c>
      <c r="L212" s="4">
        <f>MAX(0,AP212-BJ212)</f>
      </c>
      <c r="M212" s="4">
        <f>MAX(0,AQ212-BK212)</f>
      </c>
      <c r="N212" s="4">
        <f>MAX(0,AR212-BL212)</f>
      </c>
      <c r="O212" s="4">
        <f>MAX(0,AS212-BM212)</f>
      </c>
      <c r="P212" s="4">
        <f>MAX(0,AT212-BN212)</f>
      </c>
      <c r="Q212" s="4">
        <f>IF(G211&gt;0,G211*($J$5/100/12),0)</f>
      </c>
      <c r="R212" s="4">
        <f>IF(H211&gt;0,H211*($J$6/100/12),0)</f>
      </c>
      <c r="S212" s="4">
        <f>IF(I211&gt;0,I211*($J$7/100/12),0)</f>
      </c>
      <c r="T212" s="4">
        <f>IF(J211&gt;0,J211*($J$8/100/12),0)</f>
      </c>
      <c r="U212" s="4">
        <f>IF(K211&gt;0,K211*($J$9/100/12),0)</f>
      </c>
      <c r="V212" s="4">
        <f>IF(L211&gt;0,L211*($J$10/100/12),0)</f>
      </c>
      <c r="W212" s="4">
        <f>IF(M211&gt;0,M211*($J$11/100/12),0)</f>
      </c>
      <c r="X212" s="4">
        <f>IF(N211&gt;0,N211*($J$12/100/12),0)</f>
      </c>
      <c r="Y212" s="4">
        <f>IF(O211&gt;0,O211*($J$13/100/12),0)</f>
      </c>
      <c r="Z212" s="4">
        <f>IF(P211&gt;0,P211*($J$14/100/12),0)</f>
      </c>
      <c r="AA212" s="4">
        <f>IF(G211&lt;=0,0,MIN($K$5,(G211+Q212)))</f>
      </c>
      <c r="AB212" s="4">
        <f>IF(H211&lt;=0,0,MIN($K$6,(H211+R212)))</f>
      </c>
      <c r="AC212" s="4">
        <f>IF(I211&lt;=0,0,MIN($K$7,(I211+S212)))</f>
      </c>
      <c r="AD212" s="4">
        <f>IF(J211&lt;=0,0,MIN($K$8,(J211+T212)))</f>
      </c>
      <c r="AE212" s="4">
        <f>IF(K211&lt;=0,0,MIN($K$9,(K211+U212)))</f>
      </c>
      <c r="AF212" s="4">
        <f>IF(L211&lt;=0,0,MIN($K$10,(L211+V212)))</f>
      </c>
      <c r="AG212" s="4">
        <f>IF(M211&lt;=0,0,MIN($K$11,(M211+W212)))</f>
      </c>
      <c r="AH212" s="4">
        <f>IF(N211&lt;=0,0,MIN($K$12,(N211+X212)))</f>
      </c>
      <c r="AI212" s="4">
        <f>IF(O211&lt;=0,0,MIN($K$13,(O211+Y212)))</f>
      </c>
      <c r="AJ212" s="4">
        <f>IF(P211&lt;=0,0,MIN($K$14,(P211+Z212)))</f>
      </c>
      <c r="AK212" s="4">
        <f>(G211+Q212)-AA212</f>
      </c>
      <c r="AL212" s="4">
        <f>(H211+R212)-AB212</f>
      </c>
      <c r="AM212" s="4">
        <f>(I211+S212)-AC212</f>
      </c>
      <c r="AN212" s="4">
        <f>(J211+T212)-AD212</f>
      </c>
      <c r="AO212" s="4">
        <f>(K211+U212)-AE212</f>
      </c>
      <c r="AP212" s="4">
        <f>(L211+V212)-AF212</f>
      </c>
      <c r="AQ212" s="4">
        <f>(M211+W212)-AG212</f>
      </c>
      <c r="AR212" s="4">
        <f>(N211+X212)-AH212</f>
      </c>
      <c r="AS212" s="4">
        <f>(O211+Y212)-AI212</f>
      </c>
      <c r="AT212" s="4">
        <f>(P211+Z212)-AJ212</f>
      </c>
      <c r="AU212" s="4">
        <f>$B$16+SUM($K$5:$K$14)-SUM(AA212:AJ212)</f>
      </c>
      <c r="AV212" s="4">
        <f>AU212-BE212</f>
      </c>
      <c r="AW212" s="4">
        <f>AV212-BF212</f>
      </c>
      <c r="AX212" s="4">
        <f>AW212-BG212</f>
      </c>
      <c r="AY212" s="4">
        <f>AX212-BH212</f>
      </c>
      <c r="AZ212" s="4">
        <f>AY212-BI212</f>
      </c>
      <c r="BA212" s="4">
        <f>AZ212-BJ212</f>
      </c>
      <c r="BB212" s="4">
        <f>BA212-BK212</f>
      </c>
      <c r="BC212" s="4">
        <f>BB212-BL212</f>
      </c>
      <c r="BD212" s="4">
        <f>BC212-BM212</f>
      </c>
      <c r="BE212" s="4">
        <f>IF(G211&lt;=0,0,MIN(AU212,AK212))</f>
      </c>
      <c r="BF212" s="4">
        <f>IF(H211&lt;=0,0,MIN(AV212,AL212))</f>
      </c>
      <c r="BG212" s="4">
        <f>IF(I211&lt;=0,0,MIN(AW212,AM212))</f>
      </c>
      <c r="BH212" s="4">
        <f>IF(J211&lt;=0,0,MIN(AX212,AN212))</f>
      </c>
      <c r="BI212" s="4">
        <f>IF(K211&lt;=0,0,MIN(AY212,AO212))</f>
      </c>
      <c r="BJ212" s="4">
        <f>IF(L211&lt;=0,0,MIN(AZ212,AP212))</f>
      </c>
      <c r="BK212" s="4">
        <f>IF(M211&lt;=0,0,MIN(BA212,AQ212))</f>
      </c>
      <c r="BL212" s="4">
        <f>IF(N211&lt;=0,0,MIN(BB212,AR212))</f>
      </c>
      <c r="BM212" s="4">
        <f>IF(O211&lt;=0,0,MIN(BC212,AS212))</f>
      </c>
      <c r="BN212" s="4">
        <f>IF(P211&lt;=0,0,MIN(BD212,AT212))</f>
      </c>
    </row>
    <row r="213" spans="1:66" x14ac:dyDescent="0.25">
      <c r="A213">
        <v>186</v>
      </c>
      <c r="B213" s="7">
        <f>EDATE($B$17,186)</f>
      </c>
      <c r="C213" s="4">
        <f>SUM(G213:P213)</f>
      </c>
      <c r="D213" s="4">
        <f>SUM(Q213:Z213)</f>
      </c>
      <c r="E213" s="4">
        <f>SUM(AA213:AJ213)+SUM(BE213:BN213)</f>
      </c>
      <c r="G213" s="4">
        <f>MAX(0,AK213-BE213)</f>
      </c>
      <c r="H213" s="4">
        <f>MAX(0,AL213-BF213)</f>
      </c>
      <c r="I213" s="4">
        <f>MAX(0,AM213-BG213)</f>
      </c>
      <c r="J213" s="4">
        <f>MAX(0,AN213-BH213)</f>
      </c>
      <c r="K213" s="4">
        <f>MAX(0,AO213-BI213)</f>
      </c>
      <c r="L213" s="4">
        <f>MAX(0,AP213-BJ213)</f>
      </c>
      <c r="M213" s="4">
        <f>MAX(0,AQ213-BK213)</f>
      </c>
      <c r="N213" s="4">
        <f>MAX(0,AR213-BL213)</f>
      </c>
      <c r="O213" s="4">
        <f>MAX(0,AS213-BM213)</f>
      </c>
      <c r="P213" s="4">
        <f>MAX(0,AT213-BN213)</f>
      </c>
      <c r="Q213" s="4">
        <f>IF(G212&gt;0,G212*($J$5/100/12),0)</f>
      </c>
      <c r="R213" s="4">
        <f>IF(H212&gt;0,H212*($J$6/100/12),0)</f>
      </c>
      <c r="S213" s="4">
        <f>IF(I212&gt;0,I212*($J$7/100/12),0)</f>
      </c>
      <c r="T213" s="4">
        <f>IF(J212&gt;0,J212*($J$8/100/12),0)</f>
      </c>
      <c r="U213" s="4">
        <f>IF(K212&gt;0,K212*($J$9/100/12),0)</f>
      </c>
      <c r="V213" s="4">
        <f>IF(L212&gt;0,L212*($J$10/100/12),0)</f>
      </c>
      <c r="W213" s="4">
        <f>IF(M212&gt;0,M212*($J$11/100/12),0)</f>
      </c>
      <c r="X213" s="4">
        <f>IF(N212&gt;0,N212*($J$12/100/12),0)</f>
      </c>
      <c r="Y213" s="4">
        <f>IF(O212&gt;0,O212*($J$13/100/12),0)</f>
      </c>
      <c r="Z213" s="4">
        <f>IF(P212&gt;0,P212*($J$14/100/12),0)</f>
      </c>
      <c r="AA213" s="4">
        <f>IF(G212&lt;=0,0,MIN($K$5,(G212+Q213)))</f>
      </c>
      <c r="AB213" s="4">
        <f>IF(H212&lt;=0,0,MIN($K$6,(H212+R213)))</f>
      </c>
      <c r="AC213" s="4">
        <f>IF(I212&lt;=0,0,MIN($K$7,(I212+S213)))</f>
      </c>
      <c r="AD213" s="4">
        <f>IF(J212&lt;=0,0,MIN($K$8,(J212+T213)))</f>
      </c>
      <c r="AE213" s="4">
        <f>IF(K212&lt;=0,0,MIN($K$9,(K212+U213)))</f>
      </c>
      <c r="AF213" s="4">
        <f>IF(L212&lt;=0,0,MIN($K$10,(L212+V213)))</f>
      </c>
      <c r="AG213" s="4">
        <f>IF(M212&lt;=0,0,MIN($K$11,(M212+W213)))</f>
      </c>
      <c r="AH213" s="4">
        <f>IF(N212&lt;=0,0,MIN($K$12,(N212+X213)))</f>
      </c>
      <c r="AI213" s="4">
        <f>IF(O212&lt;=0,0,MIN($K$13,(O212+Y213)))</f>
      </c>
      <c r="AJ213" s="4">
        <f>IF(P212&lt;=0,0,MIN($K$14,(P212+Z213)))</f>
      </c>
      <c r="AK213" s="4">
        <f>(G212+Q213)-AA213</f>
      </c>
      <c r="AL213" s="4">
        <f>(H212+R213)-AB213</f>
      </c>
      <c r="AM213" s="4">
        <f>(I212+S213)-AC213</f>
      </c>
      <c r="AN213" s="4">
        <f>(J212+T213)-AD213</f>
      </c>
      <c r="AO213" s="4">
        <f>(K212+U213)-AE213</f>
      </c>
      <c r="AP213" s="4">
        <f>(L212+V213)-AF213</f>
      </c>
      <c r="AQ213" s="4">
        <f>(M212+W213)-AG213</f>
      </c>
      <c r="AR213" s="4">
        <f>(N212+X213)-AH213</f>
      </c>
      <c r="AS213" s="4">
        <f>(O212+Y213)-AI213</f>
      </c>
      <c r="AT213" s="4">
        <f>(P212+Z213)-AJ213</f>
      </c>
      <c r="AU213" s="4">
        <f>$B$16+SUM($K$5:$K$14)-SUM(AA213:AJ213)</f>
      </c>
      <c r="AV213" s="4">
        <f>AU213-BE213</f>
      </c>
      <c r="AW213" s="4">
        <f>AV213-BF213</f>
      </c>
      <c r="AX213" s="4">
        <f>AW213-BG213</f>
      </c>
      <c r="AY213" s="4">
        <f>AX213-BH213</f>
      </c>
      <c r="AZ213" s="4">
        <f>AY213-BI213</f>
      </c>
      <c r="BA213" s="4">
        <f>AZ213-BJ213</f>
      </c>
      <c r="BB213" s="4">
        <f>BA213-BK213</f>
      </c>
      <c r="BC213" s="4">
        <f>BB213-BL213</f>
      </c>
      <c r="BD213" s="4">
        <f>BC213-BM213</f>
      </c>
      <c r="BE213" s="4">
        <f>IF(G212&lt;=0,0,MIN(AU213,AK213))</f>
      </c>
      <c r="BF213" s="4">
        <f>IF(H212&lt;=0,0,MIN(AV213,AL213))</f>
      </c>
      <c r="BG213" s="4">
        <f>IF(I212&lt;=0,0,MIN(AW213,AM213))</f>
      </c>
      <c r="BH213" s="4">
        <f>IF(J212&lt;=0,0,MIN(AX213,AN213))</f>
      </c>
      <c r="BI213" s="4">
        <f>IF(K212&lt;=0,0,MIN(AY213,AO213))</f>
      </c>
      <c r="BJ213" s="4">
        <f>IF(L212&lt;=0,0,MIN(AZ213,AP213))</f>
      </c>
      <c r="BK213" s="4">
        <f>IF(M212&lt;=0,0,MIN(BA213,AQ213))</f>
      </c>
      <c r="BL213" s="4">
        <f>IF(N212&lt;=0,0,MIN(BB213,AR213))</f>
      </c>
      <c r="BM213" s="4">
        <f>IF(O212&lt;=0,0,MIN(BC213,AS213))</f>
      </c>
      <c r="BN213" s="4">
        <f>IF(P212&lt;=0,0,MIN(BD213,AT213))</f>
      </c>
    </row>
    <row r="214" spans="1:66" x14ac:dyDescent="0.25">
      <c r="A214">
        <v>187</v>
      </c>
      <c r="B214" s="7">
        <f>EDATE($B$17,187)</f>
      </c>
      <c r="C214" s="4">
        <f>SUM(G214:P214)</f>
      </c>
      <c r="D214" s="4">
        <f>SUM(Q214:Z214)</f>
      </c>
      <c r="E214" s="4">
        <f>SUM(AA214:AJ214)+SUM(BE214:BN214)</f>
      </c>
      <c r="G214" s="4">
        <f>MAX(0,AK214-BE214)</f>
      </c>
      <c r="H214" s="4">
        <f>MAX(0,AL214-BF214)</f>
      </c>
      <c r="I214" s="4">
        <f>MAX(0,AM214-BG214)</f>
      </c>
      <c r="J214" s="4">
        <f>MAX(0,AN214-BH214)</f>
      </c>
      <c r="K214" s="4">
        <f>MAX(0,AO214-BI214)</f>
      </c>
      <c r="L214" s="4">
        <f>MAX(0,AP214-BJ214)</f>
      </c>
      <c r="M214" s="4">
        <f>MAX(0,AQ214-BK214)</f>
      </c>
      <c r="N214" s="4">
        <f>MAX(0,AR214-BL214)</f>
      </c>
      <c r="O214" s="4">
        <f>MAX(0,AS214-BM214)</f>
      </c>
      <c r="P214" s="4">
        <f>MAX(0,AT214-BN214)</f>
      </c>
      <c r="Q214" s="4">
        <f>IF(G213&gt;0,G213*($J$5/100/12),0)</f>
      </c>
      <c r="R214" s="4">
        <f>IF(H213&gt;0,H213*($J$6/100/12),0)</f>
      </c>
      <c r="S214" s="4">
        <f>IF(I213&gt;0,I213*($J$7/100/12),0)</f>
      </c>
      <c r="T214" s="4">
        <f>IF(J213&gt;0,J213*($J$8/100/12),0)</f>
      </c>
      <c r="U214" s="4">
        <f>IF(K213&gt;0,K213*($J$9/100/12),0)</f>
      </c>
      <c r="V214" s="4">
        <f>IF(L213&gt;0,L213*($J$10/100/12),0)</f>
      </c>
      <c r="W214" s="4">
        <f>IF(M213&gt;0,M213*($J$11/100/12),0)</f>
      </c>
      <c r="X214" s="4">
        <f>IF(N213&gt;0,N213*($J$12/100/12),0)</f>
      </c>
      <c r="Y214" s="4">
        <f>IF(O213&gt;0,O213*($J$13/100/12),0)</f>
      </c>
      <c r="Z214" s="4">
        <f>IF(P213&gt;0,P213*($J$14/100/12),0)</f>
      </c>
      <c r="AA214" s="4">
        <f>IF(G213&lt;=0,0,MIN($K$5,(G213+Q214)))</f>
      </c>
      <c r="AB214" s="4">
        <f>IF(H213&lt;=0,0,MIN($K$6,(H213+R214)))</f>
      </c>
      <c r="AC214" s="4">
        <f>IF(I213&lt;=0,0,MIN($K$7,(I213+S214)))</f>
      </c>
      <c r="AD214" s="4">
        <f>IF(J213&lt;=0,0,MIN($K$8,(J213+T214)))</f>
      </c>
      <c r="AE214" s="4">
        <f>IF(K213&lt;=0,0,MIN($K$9,(K213+U214)))</f>
      </c>
      <c r="AF214" s="4">
        <f>IF(L213&lt;=0,0,MIN($K$10,(L213+V214)))</f>
      </c>
      <c r="AG214" s="4">
        <f>IF(M213&lt;=0,0,MIN($K$11,(M213+W214)))</f>
      </c>
      <c r="AH214" s="4">
        <f>IF(N213&lt;=0,0,MIN($K$12,(N213+X214)))</f>
      </c>
      <c r="AI214" s="4">
        <f>IF(O213&lt;=0,0,MIN($K$13,(O213+Y214)))</f>
      </c>
      <c r="AJ214" s="4">
        <f>IF(P213&lt;=0,0,MIN($K$14,(P213+Z214)))</f>
      </c>
      <c r="AK214" s="4">
        <f>(G213+Q214)-AA214</f>
      </c>
      <c r="AL214" s="4">
        <f>(H213+R214)-AB214</f>
      </c>
      <c r="AM214" s="4">
        <f>(I213+S214)-AC214</f>
      </c>
      <c r="AN214" s="4">
        <f>(J213+T214)-AD214</f>
      </c>
      <c r="AO214" s="4">
        <f>(K213+U214)-AE214</f>
      </c>
      <c r="AP214" s="4">
        <f>(L213+V214)-AF214</f>
      </c>
      <c r="AQ214" s="4">
        <f>(M213+W214)-AG214</f>
      </c>
      <c r="AR214" s="4">
        <f>(N213+X214)-AH214</f>
      </c>
      <c r="AS214" s="4">
        <f>(O213+Y214)-AI214</f>
      </c>
      <c r="AT214" s="4">
        <f>(P213+Z214)-AJ214</f>
      </c>
      <c r="AU214" s="4">
        <f>$B$16+SUM($K$5:$K$14)-SUM(AA214:AJ214)</f>
      </c>
      <c r="AV214" s="4">
        <f>AU214-BE214</f>
      </c>
      <c r="AW214" s="4">
        <f>AV214-BF214</f>
      </c>
      <c r="AX214" s="4">
        <f>AW214-BG214</f>
      </c>
      <c r="AY214" s="4">
        <f>AX214-BH214</f>
      </c>
      <c r="AZ214" s="4">
        <f>AY214-BI214</f>
      </c>
      <c r="BA214" s="4">
        <f>AZ214-BJ214</f>
      </c>
      <c r="BB214" s="4">
        <f>BA214-BK214</f>
      </c>
      <c r="BC214" s="4">
        <f>BB214-BL214</f>
      </c>
      <c r="BD214" s="4">
        <f>BC214-BM214</f>
      </c>
      <c r="BE214" s="4">
        <f>IF(G213&lt;=0,0,MIN(AU214,AK214))</f>
      </c>
      <c r="BF214" s="4">
        <f>IF(H213&lt;=0,0,MIN(AV214,AL214))</f>
      </c>
      <c r="BG214" s="4">
        <f>IF(I213&lt;=0,0,MIN(AW214,AM214))</f>
      </c>
      <c r="BH214" s="4">
        <f>IF(J213&lt;=0,0,MIN(AX214,AN214))</f>
      </c>
      <c r="BI214" s="4">
        <f>IF(K213&lt;=0,0,MIN(AY214,AO214))</f>
      </c>
      <c r="BJ214" s="4">
        <f>IF(L213&lt;=0,0,MIN(AZ214,AP214))</f>
      </c>
      <c r="BK214" s="4">
        <f>IF(M213&lt;=0,0,MIN(BA214,AQ214))</f>
      </c>
      <c r="BL214" s="4">
        <f>IF(N213&lt;=0,0,MIN(BB214,AR214))</f>
      </c>
      <c r="BM214" s="4">
        <f>IF(O213&lt;=0,0,MIN(BC214,AS214))</f>
      </c>
      <c r="BN214" s="4">
        <f>IF(P213&lt;=0,0,MIN(BD214,AT214))</f>
      </c>
    </row>
    <row r="215" spans="1:66" x14ac:dyDescent="0.25">
      <c r="A215">
        <v>188</v>
      </c>
      <c r="B215" s="7">
        <f>EDATE($B$17,188)</f>
      </c>
      <c r="C215" s="4">
        <f>SUM(G215:P215)</f>
      </c>
      <c r="D215" s="4">
        <f>SUM(Q215:Z215)</f>
      </c>
      <c r="E215" s="4">
        <f>SUM(AA215:AJ215)+SUM(BE215:BN215)</f>
      </c>
      <c r="G215" s="4">
        <f>MAX(0,AK215-BE215)</f>
      </c>
      <c r="H215" s="4">
        <f>MAX(0,AL215-BF215)</f>
      </c>
      <c r="I215" s="4">
        <f>MAX(0,AM215-BG215)</f>
      </c>
      <c r="J215" s="4">
        <f>MAX(0,AN215-BH215)</f>
      </c>
      <c r="K215" s="4">
        <f>MAX(0,AO215-BI215)</f>
      </c>
      <c r="L215" s="4">
        <f>MAX(0,AP215-BJ215)</f>
      </c>
      <c r="M215" s="4">
        <f>MAX(0,AQ215-BK215)</f>
      </c>
      <c r="N215" s="4">
        <f>MAX(0,AR215-BL215)</f>
      </c>
      <c r="O215" s="4">
        <f>MAX(0,AS215-BM215)</f>
      </c>
      <c r="P215" s="4">
        <f>MAX(0,AT215-BN215)</f>
      </c>
      <c r="Q215" s="4">
        <f>IF(G214&gt;0,G214*($J$5/100/12),0)</f>
      </c>
      <c r="R215" s="4">
        <f>IF(H214&gt;0,H214*($J$6/100/12),0)</f>
      </c>
      <c r="S215" s="4">
        <f>IF(I214&gt;0,I214*($J$7/100/12),0)</f>
      </c>
      <c r="T215" s="4">
        <f>IF(J214&gt;0,J214*($J$8/100/12),0)</f>
      </c>
      <c r="U215" s="4">
        <f>IF(K214&gt;0,K214*($J$9/100/12),0)</f>
      </c>
      <c r="V215" s="4">
        <f>IF(L214&gt;0,L214*($J$10/100/12),0)</f>
      </c>
      <c r="W215" s="4">
        <f>IF(M214&gt;0,M214*($J$11/100/12),0)</f>
      </c>
      <c r="X215" s="4">
        <f>IF(N214&gt;0,N214*($J$12/100/12),0)</f>
      </c>
      <c r="Y215" s="4">
        <f>IF(O214&gt;0,O214*($J$13/100/12),0)</f>
      </c>
      <c r="Z215" s="4">
        <f>IF(P214&gt;0,P214*($J$14/100/12),0)</f>
      </c>
      <c r="AA215" s="4">
        <f>IF(G214&lt;=0,0,MIN($K$5,(G214+Q215)))</f>
      </c>
      <c r="AB215" s="4">
        <f>IF(H214&lt;=0,0,MIN($K$6,(H214+R215)))</f>
      </c>
      <c r="AC215" s="4">
        <f>IF(I214&lt;=0,0,MIN($K$7,(I214+S215)))</f>
      </c>
      <c r="AD215" s="4">
        <f>IF(J214&lt;=0,0,MIN($K$8,(J214+T215)))</f>
      </c>
      <c r="AE215" s="4">
        <f>IF(K214&lt;=0,0,MIN($K$9,(K214+U215)))</f>
      </c>
      <c r="AF215" s="4">
        <f>IF(L214&lt;=0,0,MIN($K$10,(L214+V215)))</f>
      </c>
      <c r="AG215" s="4">
        <f>IF(M214&lt;=0,0,MIN($K$11,(M214+W215)))</f>
      </c>
      <c r="AH215" s="4">
        <f>IF(N214&lt;=0,0,MIN($K$12,(N214+X215)))</f>
      </c>
      <c r="AI215" s="4">
        <f>IF(O214&lt;=0,0,MIN($K$13,(O214+Y215)))</f>
      </c>
      <c r="AJ215" s="4">
        <f>IF(P214&lt;=0,0,MIN($K$14,(P214+Z215)))</f>
      </c>
      <c r="AK215" s="4">
        <f>(G214+Q215)-AA215</f>
      </c>
      <c r="AL215" s="4">
        <f>(H214+R215)-AB215</f>
      </c>
      <c r="AM215" s="4">
        <f>(I214+S215)-AC215</f>
      </c>
      <c r="AN215" s="4">
        <f>(J214+T215)-AD215</f>
      </c>
      <c r="AO215" s="4">
        <f>(K214+U215)-AE215</f>
      </c>
      <c r="AP215" s="4">
        <f>(L214+V215)-AF215</f>
      </c>
      <c r="AQ215" s="4">
        <f>(M214+W215)-AG215</f>
      </c>
      <c r="AR215" s="4">
        <f>(N214+X215)-AH215</f>
      </c>
      <c r="AS215" s="4">
        <f>(O214+Y215)-AI215</f>
      </c>
      <c r="AT215" s="4">
        <f>(P214+Z215)-AJ215</f>
      </c>
      <c r="AU215" s="4">
        <f>$B$16+SUM($K$5:$K$14)-SUM(AA215:AJ215)</f>
      </c>
      <c r="AV215" s="4">
        <f>AU215-BE215</f>
      </c>
      <c r="AW215" s="4">
        <f>AV215-BF215</f>
      </c>
      <c r="AX215" s="4">
        <f>AW215-BG215</f>
      </c>
      <c r="AY215" s="4">
        <f>AX215-BH215</f>
      </c>
      <c r="AZ215" s="4">
        <f>AY215-BI215</f>
      </c>
      <c r="BA215" s="4">
        <f>AZ215-BJ215</f>
      </c>
      <c r="BB215" s="4">
        <f>BA215-BK215</f>
      </c>
      <c r="BC215" s="4">
        <f>BB215-BL215</f>
      </c>
      <c r="BD215" s="4">
        <f>BC215-BM215</f>
      </c>
      <c r="BE215" s="4">
        <f>IF(G214&lt;=0,0,MIN(AU215,AK215))</f>
      </c>
      <c r="BF215" s="4">
        <f>IF(H214&lt;=0,0,MIN(AV215,AL215))</f>
      </c>
      <c r="BG215" s="4">
        <f>IF(I214&lt;=0,0,MIN(AW215,AM215))</f>
      </c>
      <c r="BH215" s="4">
        <f>IF(J214&lt;=0,0,MIN(AX215,AN215))</f>
      </c>
      <c r="BI215" s="4">
        <f>IF(K214&lt;=0,0,MIN(AY215,AO215))</f>
      </c>
      <c r="BJ215" s="4">
        <f>IF(L214&lt;=0,0,MIN(AZ215,AP215))</f>
      </c>
      <c r="BK215" s="4">
        <f>IF(M214&lt;=0,0,MIN(BA215,AQ215))</f>
      </c>
      <c r="BL215" s="4">
        <f>IF(N214&lt;=0,0,MIN(BB215,AR215))</f>
      </c>
      <c r="BM215" s="4">
        <f>IF(O214&lt;=0,0,MIN(BC215,AS215))</f>
      </c>
      <c r="BN215" s="4">
        <f>IF(P214&lt;=0,0,MIN(BD215,AT215))</f>
      </c>
    </row>
    <row r="216" spans="1:66" x14ac:dyDescent="0.25">
      <c r="A216">
        <v>189</v>
      </c>
      <c r="B216" s="7">
        <f>EDATE($B$17,189)</f>
      </c>
      <c r="C216" s="4">
        <f>SUM(G216:P216)</f>
      </c>
      <c r="D216" s="4">
        <f>SUM(Q216:Z216)</f>
      </c>
      <c r="E216" s="4">
        <f>SUM(AA216:AJ216)+SUM(BE216:BN216)</f>
      </c>
      <c r="G216" s="4">
        <f>MAX(0,AK216-BE216)</f>
      </c>
      <c r="H216" s="4">
        <f>MAX(0,AL216-BF216)</f>
      </c>
      <c r="I216" s="4">
        <f>MAX(0,AM216-BG216)</f>
      </c>
      <c r="J216" s="4">
        <f>MAX(0,AN216-BH216)</f>
      </c>
      <c r="K216" s="4">
        <f>MAX(0,AO216-BI216)</f>
      </c>
      <c r="L216" s="4">
        <f>MAX(0,AP216-BJ216)</f>
      </c>
      <c r="M216" s="4">
        <f>MAX(0,AQ216-BK216)</f>
      </c>
      <c r="N216" s="4">
        <f>MAX(0,AR216-BL216)</f>
      </c>
      <c r="O216" s="4">
        <f>MAX(0,AS216-BM216)</f>
      </c>
      <c r="P216" s="4">
        <f>MAX(0,AT216-BN216)</f>
      </c>
      <c r="Q216" s="4">
        <f>IF(G215&gt;0,G215*($J$5/100/12),0)</f>
      </c>
      <c r="R216" s="4">
        <f>IF(H215&gt;0,H215*($J$6/100/12),0)</f>
      </c>
      <c r="S216" s="4">
        <f>IF(I215&gt;0,I215*($J$7/100/12),0)</f>
      </c>
      <c r="T216" s="4">
        <f>IF(J215&gt;0,J215*($J$8/100/12),0)</f>
      </c>
      <c r="U216" s="4">
        <f>IF(K215&gt;0,K215*($J$9/100/12),0)</f>
      </c>
      <c r="V216" s="4">
        <f>IF(L215&gt;0,L215*($J$10/100/12),0)</f>
      </c>
      <c r="W216" s="4">
        <f>IF(M215&gt;0,M215*($J$11/100/12),0)</f>
      </c>
      <c r="X216" s="4">
        <f>IF(N215&gt;0,N215*($J$12/100/12),0)</f>
      </c>
      <c r="Y216" s="4">
        <f>IF(O215&gt;0,O215*($J$13/100/12),0)</f>
      </c>
      <c r="Z216" s="4">
        <f>IF(P215&gt;0,P215*($J$14/100/12),0)</f>
      </c>
      <c r="AA216" s="4">
        <f>IF(G215&lt;=0,0,MIN($K$5,(G215+Q216)))</f>
      </c>
      <c r="AB216" s="4">
        <f>IF(H215&lt;=0,0,MIN($K$6,(H215+R216)))</f>
      </c>
      <c r="AC216" s="4">
        <f>IF(I215&lt;=0,0,MIN($K$7,(I215+S216)))</f>
      </c>
      <c r="AD216" s="4">
        <f>IF(J215&lt;=0,0,MIN($K$8,(J215+T216)))</f>
      </c>
      <c r="AE216" s="4">
        <f>IF(K215&lt;=0,0,MIN($K$9,(K215+U216)))</f>
      </c>
      <c r="AF216" s="4">
        <f>IF(L215&lt;=0,0,MIN($K$10,(L215+V216)))</f>
      </c>
      <c r="AG216" s="4">
        <f>IF(M215&lt;=0,0,MIN($K$11,(M215+W216)))</f>
      </c>
      <c r="AH216" s="4">
        <f>IF(N215&lt;=0,0,MIN($K$12,(N215+X216)))</f>
      </c>
      <c r="AI216" s="4">
        <f>IF(O215&lt;=0,0,MIN($K$13,(O215+Y216)))</f>
      </c>
      <c r="AJ216" s="4">
        <f>IF(P215&lt;=0,0,MIN($K$14,(P215+Z216)))</f>
      </c>
      <c r="AK216" s="4">
        <f>(G215+Q216)-AA216</f>
      </c>
      <c r="AL216" s="4">
        <f>(H215+R216)-AB216</f>
      </c>
      <c r="AM216" s="4">
        <f>(I215+S216)-AC216</f>
      </c>
      <c r="AN216" s="4">
        <f>(J215+T216)-AD216</f>
      </c>
      <c r="AO216" s="4">
        <f>(K215+U216)-AE216</f>
      </c>
      <c r="AP216" s="4">
        <f>(L215+V216)-AF216</f>
      </c>
      <c r="AQ216" s="4">
        <f>(M215+W216)-AG216</f>
      </c>
      <c r="AR216" s="4">
        <f>(N215+X216)-AH216</f>
      </c>
      <c r="AS216" s="4">
        <f>(O215+Y216)-AI216</f>
      </c>
      <c r="AT216" s="4">
        <f>(P215+Z216)-AJ216</f>
      </c>
      <c r="AU216" s="4">
        <f>$B$16+SUM($K$5:$K$14)-SUM(AA216:AJ216)</f>
      </c>
      <c r="AV216" s="4">
        <f>AU216-BE216</f>
      </c>
      <c r="AW216" s="4">
        <f>AV216-BF216</f>
      </c>
      <c r="AX216" s="4">
        <f>AW216-BG216</f>
      </c>
      <c r="AY216" s="4">
        <f>AX216-BH216</f>
      </c>
      <c r="AZ216" s="4">
        <f>AY216-BI216</f>
      </c>
      <c r="BA216" s="4">
        <f>AZ216-BJ216</f>
      </c>
      <c r="BB216" s="4">
        <f>BA216-BK216</f>
      </c>
      <c r="BC216" s="4">
        <f>BB216-BL216</f>
      </c>
      <c r="BD216" s="4">
        <f>BC216-BM216</f>
      </c>
      <c r="BE216" s="4">
        <f>IF(G215&lt;=0,0,MIN(AU216,AK216))</f>
      </c>
      <c r="BF216" s="4">
        <f>IF(H215&lt;=0,0,MIN(AV216,AL216))</f>
      </c>
      <c r="BG216" s="4">
        <f>IF(I215&lt;=0,0,MIN(AW216,AM216))</f>
      </c>
      <c r="BH216" s="4">
        <f>IF(J215&lt;=0,0,MIN(AX216,AN216))</f>
      </c>
      <c r="BI216" s="4">
        <f>IF(K215&lt;=0,0,MIN(AY216,AO216))</f>
      </c>
      <c r="BJ216" s="4">
        <f>IF(L215&lt;=0,0,MIN(AZ216,AP216))</f>
      </c>
      <c r="BK216" s="4">
        <f>IF(M215&lt;=0,0,MIN(BA216,AQ216))</f>
      </c>
      <c r="BL216" s="4">
        <f>IF(N215&lt;=0,0,MIN(BB216,AR216))</f>
      </c>
      <c r="BM216" s="4">
        <f>IF(O215&lt;=0,0,MIN(BC216,AS216))</f>
      </c>
      <c r="BN216" s="4">
        <f>IF(P215&lt;=0,0,MIN(BD216,AT216))</f>
      </c>
    </row>
    <row r="217" spans="1:66" x14ac:dyDescent="0.25">
      <c r="A217">
        <v>190</v>
      </c>
      <c r="B217" s="7">
        <f>EDATE($B$17,190)</f>
      </c>
      <c r="C217" s="4">
        <f>SUM(G217:P217)</f>
      </c>
      <c r="D217" s="4">
        <f>SUM(Q217:Z217)</f>
      </c>
      <c r="E217" s="4">
        <f>SUM(AA217:AJ217)+SUM(BE217:BN217)</f>
      </c>
      <c r="G217" s="4">
        <f>MAX(0,AK217-BE217)</f>
      </c>
      <c r="H217" s="4">
        <f>MAX(0,AL217-BF217)</f>
      </c>
      <c r="I217" s="4">
        <f>MAX(0,AM217-BG217)</f>
      </c>
      <c r="J217" s="4">
        <f>MAX(0,AN217-BH217)</f>
      </c>
      <c r="K217" s="4">
        <f>MAX(0,AO217-BI217)</f>
      </c>
      <c r="L217" s="4">
        <f>MAX(0,AP217-BJ217)</f>
      </c>
      <c r="M217" s="4">
        <f>MAX(0,AQ217-BK217)</f>
      </c>
      <c r="N217" s="4">
        <f>MAX(0,AR217-BL217)</f>
      </c>
      <c r="O217" s="4">
        <f>MAX(0,AS217-BM217)</f>
      </c>
      <c r="P217" s="4">
        <f>MAX(0,AT217-BN217)</f>
      </c>
      <c r="Q217" s="4">
        <f>IF(G216&gt;0,G216*($J$5/100/12),0)</f>
      </c>
      <c r="R217" s="4">
        <f>IF(H216&gt;0,H216*($J$6/100/12),0)</f>
      </c>
      <c r="S217" s="4">
        <f>IF(I216&gt;0,I216*($J$7/100/12),0)</f>
      </c>
      <c r="T217" s="4">
        <f>IF(J216&gt;0,J216*($J$8/100/12),0)</f>
      </c>
      <c r="U217" s="4">
        <f>IF(K216&gt;0,K216*($J$9/100/12),0)</f>
      </c>
      <c r="V217" s="4">
        <f>IF(L216&gt;0,L216*($J$10/100/12),0)</f>
      </c>
      <c r="W217" s="4">
        <f>IF(M216&gt;0,M216*($J$11/100/12),0)</f>
      </c>
      <c r="X217" s="4">
        <f>IF(N216&gt;0,N216*($J$12/100/12),0)</f>
      </c>
      <c r="Y217" s="4">
        <f>IF(O216&gt;0,O216*($J$13/100/12),0)</f>
      </c>
      <c r="Z217" s="4">
        <f>IF(P216&gt;0,P216*($J$14/100/12),0)</f>
      </c>
      <c r="AA217" s="4">
        <f>IF(G216&lt;=0,0,MIN($K$5,(G216+Q217)))</f>
      </c>
      <c r="AB217" s="4">
        <f>IF(H216&lt;=0,0,MIN($K$6,(H216+R217)))</f>
      </c>
      <c r="AC217" s="4">
        <f>IF(I216&lt;=0,0,MIN($K$7,(I216+S217)))</f>
      </c>
      <c r="AD217" s="4">
        <f>IF(J216&lt;=0,0,MIN($K$8,(J216+T217)))</f>
      </c>
      <c r="AE217" s="4">
        <f>IF(K216&lt;=0,0,MIN($K$9,(K216+U217)))</f>
      </c>
      <c r="AF217" s="4">
        <f>IF(L216&lt;=0,0,MIN($K$10,(L216+V217)))</f>
      </c>
      <c r="AG217" s="4">
        <f>IF(M216&lt;=0,0,MIN($K$11,(M216+W217)))</f>
      </c>
      <c r="AH217" s="4">
        <f>IF(N216&lt;=0,0,MIN($K$12,(N216+X217)))</f>
      </c>
      <c r="AI217" s="4">
        <f>IF(O216&lt;=0,0,MIN($K$13,(O216+Y217)))</f>
      </c>
      <c r="AJ217" s="4">
        <f>IF(P216&lt;=0,0,MIN($K$14,(P216+Z217)))</f>
      </c>
      <c r="AK217" s="4">
        <f>(G216+Q217)-AA217</f>
      </c>
      <c r="AL217" s="4">
        <f>(H216+R217)-AB217</f>
      </c>
      <c r="AM217" s="4">
        <f>(I216+S217)-AC217</f>
      </c>
      <c r="AN217" s="4">
        <f>(J216+T217)-AD217</f>
      </c>
      <c r="AO217" s="4">
        <f>(K216+U217)-AE217</f>
      </c>
      <c r="AP217" s="4">
        <f>(L216+V217)-AF217</f>
      </c>
      <c r="AQ217" s="4">
        <f>(M216+W217)-AG217</f>
      </c>
      <c r="AR217" s="4">
        <f>(N216+X217)-AH217</f>
      </c>
      <c r="AS217" s="4">
        <f>(O216+Y217)-AI217</f>
      </c>
      <c r="AT217" s="4">
        <f>(P216+Z217)-AJ217</f>
      </c>
      <c r="AU217" s="4">
        <f>$B$16+SUM($K$5:$K$14)-SUM(AA217:AJ217)</f>
      </c>
      <c r="AV217" s="4">
        <f>AU217-BE217</f>
      </c>
      <c r="AW217" s="4">
        <f>AV217-BF217</f>
      </c>
      <c r="AX217" s="4">
        <f>AW217-BG217</f>
      </c>
      <c r="AY217" s="4">
        <f>AX217-BH217</f>
      </c>
      <c r="AZ217" s="4">
        <f>AY217-BI217</f>
      </c>
      <c r="BA217" s="4">
        <f>AZ217-BJ217</f>
      </c>
      <c r="BB217" s="4">
        <f>BA217-BK217</f>
      </c>
      <c r="BC217" s="4">
        <f>BB217-BL217</f>
      </c>
      <c r="BD217" s="4">
        <f>BC217-BM217</f>
      </c>
      <c r="BE217" s="4">
        <f>IF(G216&lt;=0,0,MIN(AU217,AK217))</f>
      </c>
      <c r="BF217" s="4">
        <f>IF(H216&lt;=0,0,MIN(AV217,AL217))</f>
      </c>
      <c r="BG217" s="4">
        <f>IF(I216&lt;=0,0,MIN(AW217,AM217))</f>
      </c>
      <c r="BH217" s="4">
        <f>IF(J216&lt;=0,0,MIN(AX217,AN217))</f>
      </c>
      <c r="BI217" s="4">
        <f>IF(K216&lt;=0,0,MIN(AY217,AO217))</f>
      </c>
      <c r="BJ217" s="4">
        <f>IF(L216&lt;=0,0,MIN(AZ217,AP217))</f>
      </c>
      <c r="BK217" s="4">
        <f>IF(M216&lt;=0,0,MIN(BA217,AQ217))</f>
      </c>
      <c r="BL217" s="4">
        <f>IF(N216&lt;=0,0,MIN(BB217,AR217))</f>
      </c>
      <c r="BM217" s="4">
        <f>IF(O216&lt;=0,0,MIN(BC217,AS217))</f>
      </c>
      <c r="BN217" s="4">
        <f>IF(P216&lt;=0,0,MIN(BD217,AT217))</f>
      </c>
    </row>
    <row r="218" spans="1:66" x14ac:dyDescent="0.25">
      <c r="A218">
        <v>191</v>
      </c>
      <c r="B218" s="7">
        <f>EDATE($B$17,191)</f>
      </c>
      <c r="C218" s="4">
        <f>SUM(G218:P218)</f>
      </c>
      <c r="D218" s="4">
        <f>SUM(Q218:Z218)</f>
      </c>
      <c r="E218" s="4">
        <f>SUM(AA218:AJ218)+SUM(BE218:BN218)</f>
      </c>
      <c r="G218" s="4">
        <f>MAX(0,AK218-BE218)</f>
      </c>
      <c r="H218" s="4">
        <f>MAX(0,AL218-BF218)</f>
      </c>
      <c r="I218" s="4">
        <f>MAX(0,AM218-BG218)</f>
      </c>
      <c r="J218" s="4">
        <f>MAX(0,AN218-BH218)</f>
      </c>
      <c r="K218" s="4">
        <f>MAX(0,AO218-BI218)</f>
      </c>
      <c r="L218" s="4">
        <f>MAX(0,AP218-BJ218)</f>
      </c>
      <c r="M218" s="4">
        <f>MAX(0,AQ218-BK218)</f>
      </c>
      <c r="N218" s="4">
        <f>MAX(0,AR218-BL218)</f>
      </c>
      <c r="O218" s="4">
        <f>MAX(0,AS218-BM218)</f>
      </c>
      <c r="P218" s="4">
        <f>MAX(0,AT218-BN218)</f>
      </c>
      <c r="Q218" s="4">
        <f>IF(G217&gt;0,G217*($J$5/100/12),0)</f>
      </c>
      <c r="R218" s="4">
        <f>IF(H217&gt;0,H217*($J$6/100/12),0)</f>
      </c>
      <c r="S218" s="4">
        <f>IF(I217&gt;0,I217*($J$7/100/12),0)</f>
      </c>
      <c r="T218" s="4">
        <f>IF(J217&gt;0,J217*($J$8/100/12),0)</f>
      </c>
      <c r="U218" s="4">
        <f>IF(K217&gt;0,K217*($J$9/100/12),0)</f>
      </c>
      <c r="V218" s="4">
        <f>IF(L217&gt;0,L217*($J$10/100/12),0)</f>
      </c>
      <c r="W218" s="4">
        <f>IF(M217&gt;0,M217*($J$11/100/12),0)</f>
      </c>
      <c r="X218" s="4">
        <f>IF(N217&gt;0,N217*($J$12/100/12),0)</f>
      </c>
      <c r="Y218" s="4">
        <f>IF(O217&gt;0,O217*($J$13/100/12),0)</f>
      </c>
      <c r="Z218" s="4">
        <f>IF(P217&gt;0,P217*($J$14/100/12),0)</f>
      </c>
      <c r="AA218" s="4">
        <f>IF(G217&lt;=0,0,MIN($K$5,(G217+Q218)))</f>
      </c>
      <c r="AB218" s="4">
        <f>IF(H217&lt;=0,0,MIN($K$6,(H217+R218)))</f>
      </c>
      <c r="AC218" s="4">
        <f>IF(I217&lt;=0,0,MIN($K$7,(I217+S218)))</f>
      </c>
      <c r="AD218" s="4">
        <f>IF(J217&lt;=0,0,MIN($K$8,(J217+T218)))</f>
      </c>
      <c r="AE218" s="4">
        <f>IF(K217&lt;=0,0,MIN($K$9,(K217+U218)))</f>
      </c>
      <c r="AF218" s="4">
        <f>IF(L217&lt;=0,0,MIN($K$10,(L217+V218)))</f>
      </c>
      <c r="AG218" s="4">
        <f>IF(M217&lt;=0,0,MIN($K$11,(M217+W218)))</f>
      </c>
      <c r="AH218" s="4">
        <f>IF(N217&lt;=0,0,MIN($K$12,(N217+X218)))</f>
      </c>
      <c r="AI218" s="4">
        <f>IF(O217&lt;=0,0,MIN($K$13,(O217+Y218)))</f>
      </c>
      <c r="AJ218" s="4">
        <f>IF(P217&lt;=0,0,MIN($K$14,(P217+Z218)))</f>
      </c>
      <c r="AK218" s="4">
        <f>(G217+Q218)-AA218</f>
      </c>
      <c r="AL218" s="4">
        <f>(H217+R218)-AB218</f>
      </c>
      <c r="AM218" s="4">
        <f>(I217+S218)-AC218</f>
      </c>
      <c r="AN218" s="4">
        <f>(J217+T218)-AD218</f>
      </c>
      <c r="AO218" s="4">
        <f>(K217+U218)-AE218</f>
      </c>
      <c r="AP218" s="4">
        <f>(L217+V218)-AF218</f>
      </c>
      <c r="AQ218" s="4">
        <f>(M217+W218)-AG218</f>
      </c>
      <c r="AR218" s="4">
        <f>(N217+X218)-AH218</f>
      </c>
      <c r="AS218" s="4">
        <f>(O217+Y218)-AI218</f>
      </c>
      <c r="AT218" s="4">
        <f>(P217+Z218)-AJ218</f>
      </c>
      <c r="AU218" s="4">
        <f>$B$16+SUM($K$5:$K$14)-SUM(AA218:AJ218)</f>
      </c>
      <c r="AV218" s="4">
        <f>AU218-BE218</f>
      </c>
      <c r="AW218" s="4">
        <f>AV218-BF218</f>
      </c>
      <c r="AX218" s="4">
        <f>AW218-BG218</f>
      </c>
      <c r="AY218" s="4">
        <f>AX218-BH218</f>
      </c>
      <c r="AZ218" s="4">
        <f>AY218-BI218</f>
      </c>
      <c r="BA218" s="4">
        <f>AZ218-BJ218</f>
      </c>
      <c r="BB218" s="4">
        <f>BA218-BK218</f>
      </c>
      <c r="BC218" s="4">
        <f>BB218-BL218</f>
      </c>
      <c r="BD218" s="4">
        <f>BC218-BM218</f>
      </c>
      <c r="BE218" s="4">
        <f>IF(G217&lt;=0,0,MIN(AU218,AK218))</f>
      </c>
      <c r="BF218" s="4">
        <f>IF(H217&lt;=0,0,MIN(AV218,AL218))</f>
      </c>
      <c r="BG218" s="4">
        <f>IF(I217&lt;=0,0,MIN(AW218,AM218))</f>
      </c>
      <c r="BH218" s="4">
        <f>IF(J217&lt;=0,0,MIN(AX218,AN218))</f>
      </c>
      <c r="BI218" s="4">
        <f>IF(K217&lt;=0,0,MIN(AY218,AO218))</f>
      </c>
      <c r="BJ218" s="4">
        <f>IF(L217&lt;=0,0,MIN(AZ218,AP218))</f>
      </c>
      <c r="BK218" s="4">
        <f>IF(M217&lt;=0,0,MIN(BA218,AQ218))</f>
      </c>
      <c r="BL218" s="4">
        <f>IF(N217&lt;=0,0,MIN(BB218,AR218))</f>
      </c>
      <c r="BM218" s="4">
        <f>IF(O217&lt;=0,0,MIN(BC218,AS218))</f>
      </c>
      <c r="BN218" s="4">
        <f>IF(P217&lt;=0,0,MIN(BD218,AT218))</f>
      </c>
    </row>
    <row r="219" spans="1:66" x14ac:dyDescent="0.25">
      <c r="A219">
        <v>192</v>
      </c>
      <c r="B219" s="7">
        <f>EDATE($B$17,192)</f>
      </c>
      <c r="C219" s="4">
        <f>SUM(G219:P219)</f>
      </c>
      <c r="D219" s="4">
        <f>SUM(Q219:Z219)</f>
      </c>
      <c r="E219" s="4">
        <f>SUM(AA219:AJ219)+SUM(BE219:BN219)</f>
      </c>
      <c r="G219" s="4">
        <f>MAX(0,AK219-BE219)</f>
      </c>
      <c r="H219" s="4">
        <f>MAX(0,AL219-BF219)</f>
      </c>
      <c r="I219" s="4">
        <f>MAX(0,AM219-BG219)</f>
      </c>
      <c r="J219" s="4">
        <f>MAX(0,AN219-BH219)</f>
      </c>
      <c r="K219" s="4">
        <f>MAX(0,AO219-BI219)</f>
      </c>
      <c r="L219" s="4">
        <f>MAX(0,AP219-BJ219)</f>
      </c>
      <c r="M219" s="4">
        <f>MAX(0,AQ219-BK219)</f>
      </c>
      <c r="N219" s="4">
        <f>MAX(0,AR219-BL219)</f>
      </c>
      <c r="O219" s="4">
        <f>MAX(0,AS219-BM219)</f>
      </c>
      <c r="P219" s="4">
        <f>MAX(0,AT219-BN219)</f>
      </c>
      <c r="Q219" s="4">
        <f>IF(G218&gt;0,G218*($J$5/100/12),0)</f>
      </c>
      <c r="R219" s="4">
        <f>IF(H218&gt;0,H218*($J$6/100/12),0)</f>
      </c>
      <c r="S219" s="4">
        <f>IF(I218&gt;0,I218*($J$7/100/12),0)</f>
      </c>
      <c r="T219" s="4">
        <f>IF(J218&gt;0,J218*($J$8/100/12),0)</f>
      </c>
      <c r="U219" s="4">
        <f>IF(K218&gt;0,K218*($J$9/100/12),0)</f>
      </c>
      <c r="V219" s="4">
        <f>IF(L218&gt;0,L218*($J$10/100/12),0)</f>
      </c>
      <c r="W219" s="4">
        <f>IF(M218&gt;0,M218*($J$11/100/12),0)</f>
      </c>
      <c r="X219" s="4">
        <f>IF(N218&gt;0,N218*($J$12/100/12),0)</f>
      </c>
      <c r="Y219" s="4">
        <f>IF(O218&gt;0,O218*($J$13/100/12),0)</f>
      </c>
      <c r="Z219" s="4">
        <f>IF(P218&gt;0,P218*($J$14/100/12),0)</f>
      </c>
      <c r="AA219" s="4">
        <f>IF(G218&lt;=0,0,MIN($K$5,(G218+Q219)))</f>
      </c>
      <c r="AB219" s="4">
        <f>IF(H218&lt;=0,0,MIN($K$6,(H218+R219)))</f>
      </c>
      <c r="AC219" s="4">
        <f>IF(I218&lt;=0,0,MIN($K$7,(I218+S219)))</f>
      </c>
      <c r="AD219" s="4">
        <f>IF(J218&lt;=0,0,MIN($K$8,(J218+T219)))</f>
      </c>
      <c r="AE219" s="4">
        <f>IF(K218&lt;=0,0,MIN($K$9,(K218+U219)))</f>
      </c>
      <c r="AF219" s="4">
        <f>IF(L218&lt;=0,0,MIN($K$10,(L218+V219)))</f>
      </c>
      <c r="AG219" s="4">
        <f>IF(M218&lt;=0,0,MIN($K$11,(M218+W219)))</f>
      </c>
      <c r="AH219" s="4">
        <f>IF(N218&lt;=0,0,MIN($K$12,(N218+X219)))</f>
      </c>
      <c r="AI219" s="4">
        <f>IF(O218&lt;=0,0,MIN($K$13,(O218+Y219)))</f>
      </c>
      <c r="AJ219" s="4">
        <f>IF(P218&lt;=0,0,MIN($K$14,(P218+Z219)))</f>
      </c>
      <c r="AK219" s="4">
        <f>(G218+Q219)-AA219</f>
      </c>
      <c r="AL219" s="4">
        <f>(H218+R219)-AB219</f>
      </c>
      <c r="AM219" s="4">
        <f>(I218+S219)-AC219</f>
      </c>
      <c r="AN219" s="4">
        <f>(J218+T219)-AD219</f>
      </c>
      <c r="AO219" s="4">
        <f>(K218+U219)-AE219</f>
      </c>
      <c r="AP219" s="4">
        <f>(L218+V219)-AF219</f>
      </c>
      <c r="AQ219" s="4">
        <f>(M218+W219)-AG219</f>
      </c>
      <c r="AR219" s="4">
        <f>(N218+X219)-AH219</f>
      </c>
      <c r="AS219" s="4">
        <f>(O218+Y219)-AI219</f>
      </c>
      <c r="AT219" s="4">
        <f>(P218+Z219)-AJ219</f>
      </c>
      <c r="AU219" s="4">
        <f>$B$16+SUM($K$5:$K$14)-SUM(AA219:AJ219)</f>
      </c>
      <c r="AV219" s="4">
        <f>AU219-BE219</f>
      </c>
      <c r="AW219" s="4">
        <f>AV219-BF219</f>
      </c>
      <c r="AX219" s="4">
        <f>AW219-BG219</f>
      </c>
      <c r="AY219" s="4">
        <f>AX219-BH219</f>
      </c>
      <c r="AZ219" s="4">
        <f>AY219-BI219</f>
      </c>
      <c r="BA219" s="4">
        <f>AZ219-BJ219</f>
      </c>
      <c r="BB219" s="4">
        <f>BA219-BK219</f>
      </c>
      <c r="BC219" s="4">
        <f>BB219-BL219</f>
      </c>
      <c r="BD219" s="4">
        <f>BC219-BM219</f>
      </c>
      <c r="BE219" s="4">
        <f>IF(G218&lt;=0,0,MIN(AU219,AK219))</f>
      </c>
      <c r="BF219" s="4">
        <f>IF(H218&lt;=0,0,MIN(AV219,AL219))</f>
      </c>
      <c r="BG219" s="4">
        <f>IF(I218&lt;=0,0,MIN(AW219,AM219))</f>
      </c>
      <c r="BH219" s="4">
        <f>IF(J218&lt;=0,0,MIN(AX219,AN219))</f>
      </c>
      <c r="BI219" s="4">
        <f>IF(K218&lt;=0,0,MIN(AY219,AO219))</f>
      </c>
      <c r="BJ219" s="4">
        <f>IF(L218&lt;=0,0,MIN(AZ219,AP219))</f>
      </c>
      <c r="BK219" s="4">
        <f>IF(M218&lt;=0,0,MIN(BA219,AQ219))</f>
      </c>
      <c r="BL219" s="4">
        <f>IF(N218&lt;=0,0,MIN(BB219,AR219))</f>
      </c>
      <c r="BM219" s="4">
        <f>IF(O218&lt;=0,0,MIN(BC219,AS219))</f>
      </c>
      <c r="BN219" s="4">
        <f>IF(P218&lt;=0,0,MIN(BD219,AT219))</f>
      </c>
    </row>
    <row r="220" spans="1:66" x14ac:dyDescent="0.25">
      <c r="A220">
        <v>193</v>
      </c>
      <c r="B220" s="7">
        <f>EDATE($B$17,193)</f>
      </c>
      <c r="C220" s="4">
        <f>SUM(G220:P220)</f>
      </c>
      <c r="D220" s="4">
        <f>SUM(Q220:Z220)</f>
      </c>
      <c r="E220" s="4">
        <f>SUM(AA220:AJ220)+SUM(BE220:BN220)</f>
      </c>
      <c r="G220" s="4">
        <f>MAX(0,AK220-BE220)</f>
      </c>
      <c r="H220" s="4">
        <f>MAX(0,AL220-BF220)</f>
      </c>
      <c r="I220" s="4">
        <f>MAX(0,AM220-BG220)</f>
      </c>
      <c r="J220" s="4">
        <f>MAX(0,AN220-BH220)</f>
      </c>
      <c r="K220" s="4">
        <f>MAX(0,AO220-BI220)</f>
      </c>
      <c r="L220" s="4">
        <f>MAX(0,AP220-BJ220)</f>
      </c>
      <c r="M220" s="4">
        <f>MAX(0,AQ220-BK220)</f>
      </c>
      <c r="N220" s="4">
        <f>MAX(0,AR220-BL220)</f>
      </c>
      <c r="O220" s="4">
        <f>MAX(0,AS220-BM220)</f>
      </c>
      <c r="P220" s="4">
        <f>MAX(0,AT220-BN220)</f>
      </c>
      <c r="Q220" s="4">
        <f>IF(G219&gt;0,G219*($J$5/100/12),0)</f>
      </c>
      <c r="R220" s="4">
        <f>IF(H219&gt;0,H219*($J$6/100/12),0)</f>
      </c>
      <c r="S220" s="4">
        <f>IF(I219&gt;0,I219*($J$7/100/12),0)</f>
      </c>
      <c r="T220" s="4">
        <f>IF(J219&gt;0,J219*($J$8/100/12),0)</f>
      </c>
      <c r="U220" s="4">
        <f>IF(K219&gt;0,K219*($J$9/100/12),0)</f>
      </c>
      <c r="V220" s="4">
        <f>IF(L219&gt;0,L219*($J$10/100/12),0)</f>
      </c>
      <c r="W220" s="4">
        <f>IF(M219&gt;0,M219*($J$11/100/12),0)</f>
      </c>
      <c r="X220" s="4">
        <f>IF(N219&gt;0,N219*($J$12/100/12),0)</f>
      </c>
      <c r="Y220" s="4">
        <f>IF(O219&gt;0,O219*($J$13/100/12),0)</f>
      </c>
      <c r="Z220" s="4">
        <f>IF(P219&gt;0,P219*($J$14/100/12),0)</f>
      </c>
      <c r="AA220" s="4">
        <f>IF(G219&lt;=0,0,MIN($K$5,(G219+Q220)))</f>
      </c>
      <c r="AB220" s="4">
        <f>IF(H219&lt;=0,0,MIN($K$6,(H219+R220)))</f>
      </c>
      <c r="AC220" s="4">
        <f>IF(I219&lt;=0,0,MIN($K$7,(I219+S220)))</f>
      </c>
      <c r="AD220" s="4">
        <f>IF(J219&lt;=0,0,MIN($K$8,(J219+T220)))</f>
      </c>
      <c r="AE220" s="4">
        <f>IF(K219&lt;=0,0,MIN($K$9,(K219+U220)))</f>
      </c>
      <c r="AF220" s="4">
        <f>IF(L219&lt;=0,0,MIN($K$10,(L219+V220)))</f>
      </c>
      <c r="AG220" s="4">
        <f>IF(M219&lt;=0,0,MIN($K$11,(M219+W220)))</f>
      </c>
      <c r="AH220" s="4">
        <f>IF(N219&lt;=0,0,MIN($K$12,(N219+X220)))</f>
      </c>
      <c r="AI220" s="4">
        <f>IF(O219&lt;=0,0,MIN($K$13,(O219+Y220)))</f>
      </c>
      <c r="AJ220" s="4">
        <f>IF(P219&lt;=0,0,MIN($K$14,(P219+Z220)))</f>
      </c>
      <c r="AK220" s="4">
        <f>(G219+Q220)-AA220</f>
      </c>
      <c r="AL220" s="4">
        <f>(H219+R220)-AB220</f>
      </c>
      <c r="AM220" s="4">
        <f>(I219+S220)-AC220</f>
      </c>
      <c r="AN220" s="4">
        <f>(J219+T220)-AD220</f>
      </c>
      <c r="AO220" s="4">
        <f>(K219+U220)-AE220</f>
      </c>
      <c r="AP220" s="4">
        <f>(L219+V220)-AF220</f>
      </c>
      <c r="AQ220" s="4">
        <f>(M219+W220)-AG220</f>
      </c>
      <c r="AR220" s="4">
        <f>(N219+X220)-AH220</f>
      </c>
      <c r="AS220" s="4">
        <f>(O219+Y220)-AI220</f>
      </c>
      <c r="AT220" s="4">
        <f>(P219+Z220)-AJ220</f>
      </c>
      <c r="AU220" s="4">
        <f>$B$16+SUM($K$5:$K$14)-SUM(AA220:AJ220)</f>
      </c>
      <c r="AV220" s="4">
        <f>AU220-BE220</f>
      </c>
      <c r="AW220" s="4">
        <f>AV220-BF220</f>
      </c>
      <c r="AX220" s="4">
        <f>AW220-BG220</f>
      </c>
      <c r="AY220" s="4">
        <f>AX220-BH220</f>
      </c>
      <c r="AZ220" s="4">
        <f>AY220-BI220</f>
      </c>
      <c r="BA220" s="4">
        <f>AZ220-BJ220</f>
      </c>
      <c r="BB220" s="4">
        <f>BA220-BK220</f>
      </c>
      <c r="BC220" s="4">
        <f>BB220-BL220</f>
      </c>
      <c r="BD220" s="4">
        <f>BC220-BM220</f>
      </c>
      <c r="BE220" s="4">
        <f>IF(G219&lt;=0,0,MIN(AU220,AK220))</f>
      </c>
      <c r="BF220" s="4">
        <f>IF(H219&lt;=0,0,MIN(AV220,AL220))</f>
      </c>
      <c r="BG220" s="4">
        <f>IF(I219&lt;=0,0,MIN(AW220,AM220))</f>
      </c>
      <c r="BH220" s="4">
        <f>IF(J219&lt;=0,0,MIN(AX220,AN220))</f>
      </c>
      <c r="BI220" s="4">
        <f>IF(K219&lt;=0,0,MIN(AY220,AO220))</f>
      </c>
      <c r="BJ220" s="4">
        <f>IF(L219&lt;=0,0,MIN(AZ220,AP220))</f>
      </c>
      <c r="BK220" s="4">
        <f>IF(M219&lt;=0,0,MIN(BA220,AQ220))</f>
      </c>
      <c r="BL220" s="4">
        <f>IF(N219&lt;=0,0,MIN(BB220,AR220))</f>
      </c>
      <c r="BM220" s="4">
        <f>IF(O219&lt;=0,0,MIN(BC220,AS220))</f>
      </c>
      <c r="BN220" s="4">
        <f>IF(P219&lt;=0,0,MIN(BD220,AT220))</f>
      </c>
    </row>
    <row r="221" spans="1:66" x14ac:dyDescent="0.25">
      <c r="A221">
        <v>194</v>
      </c>
      <c r="B221" s="7">
        <f>EDATE($B$17,194)</f>
      </c>
      <c r="C221" s="4">
        <f>SUM(G221:P221)</f>
      </c>
      <c r="D221" s="4">
        <f>SUM(Q221:Z221)</f>
      </c>
      <c r="E221" s="4">
        <f>SUM(AA221:AJ221)+SUM(BE221:BN221)</f>
      </c>
      <c r="G221" s="4">
        <f>MAX(0,AK221-BE221)</f>
      </c>
      <c r="H221" s="4">
        <f>MAX(0,AL221-BF221)</f>
      </c>
      <c r="I221" s="4">
        <f>MAX(0,AM221-BG221)</f>
      </c>
      <c r="J221" s="4">
        <f>MAX(0,AN221-BH221)</f>
      </c>
      <c r="K221" s="4">
        <f>MAX(0,AO221-BI221)</f>
      </c>
      <c r="L221" s="4">
        <f>MAX(0,AP221-BJ221)</f>
      </c>
      <c r="M221" s="4">
        <f>MAX(0,AQ221-BK221)</f>
      </c>
      <c r="N221" s="4">
        <f>MAX(0,AR221-BL221)</f>
      </c>
      <c r="O221" s="4">
        <f>MAX(0,AS221-BM221)</f>
      </c>
      <c r="P221" s="4">
        <f>MAX(0,AT221-BN221)</f>
      </c>
      <c r="Q221" s="4">
        <f>IF(G220&gt;0,G220*($J$5/100/12),0)</f>
      </c>
      <c r="R221" s="4">
        <f>IF(H220&gt;0,H220*($J$6/100/12),0)</f>
      </c>
      <c r="S221" s="4">
        <f>IF(I220&gt;0,I220*($J$7/100/12),0)</f>
      </c>
      <c r="T221" s="4">
        <f>IF(J220&gt;0,J220*($J$8/100/12),0)</f>
      </c>
      <c r="U221" s="4">
        <f>IF(K220&gt;0,K220*($J$9/100/12),0)</f>
      </c>
      <c r="V221" s="4">
        <f>IF(L220&gt;0,L220*($J$10/100/12),0)</f>
      </c>
      <c r="W221" s="4">
        <f>IF(M220&gt;0,M220*($J$11/100/12),0)</f>
      </c>
      <c r="X221" s="4">
        <f>IF(N220&gt;0,N220*($J$12/100/12),0)</f>
      </c>
      <c r="Y221" s="4">
        <f>IF(O220&gt;0,O220*($J$13/100/12),0)</f>
      </c>
      <c r="Z221" s="4">
        <f>IF(P220&gt;0,P220*($J$14/100/12),0)</f>
      </c>
      <c r="AA221" s="4">
        <f>IF(G220&lt;=0,0,MIN($K$5,(G220+Q221)))</f>
      </c>
      <c r="AB221" s="4">
        <f>IF(H220&lt;=0,0,MIN($K$6,(H220+R221)))</f>
      </c>
      <c r="AC221" s="4">
        <f>IF(I220&lt;=0,0,MIN($K$7,(I220+S221)))</f>
      </c>
      <c r="AD221" s="4">
        <f>IF(J220&lt;=0,0,MIN($K$8,(J220+T221)))</f>
      </c>
      <c r="AE221" s="4">
        <f>IF(K220&lt;=0,0,MIN($K$9,(K220+U221)))</f>
      </c>
      <c r="AF221" s="4">
        <f>IF(L220&lt;=0,0,MIN($K$10,(L220+V221)))</f>
      </c>
      <c r="AG221" s="4">
        <f>IF(M220&lt;=0,0,MIN($K$11,(M220+W221)))</f>
      </c>
      <c r="AH221" s="4">
        <f>IF(N220&lt;=0,0,MIN($K$12,(N220+X221)))</f>
      </c>
      <c r="AI221" s="4">
        <f>IF(O220&lt;=0,0,MIN($K$13,(O220+Y221)))</f>
      </c>
      <c r="AJ221" s="4">
        <f>IF(P220&lt;=0,0,MIN($K$14,(P220+Z221)))</f>
      </c>
      <c r="AK221" s="4">
        <f>(G220+Q221)-AA221</f>
      </c>
      <c r="AL221" s="4">
        <f>(H220+R221)-AB221</f>
      </c>
      <c r="AM221" s="4">
        <f>(I220+S221)-AC221</f>
      </c>
      <c r="AN221" s="4">
        <f>(J220+T221)-AD221</f>
      </c>
      <c r="AO221" s="4">
        <f>(K220+U221)-AE221</f>
      </c>
      <c r="AP221" s="4">
        <f>(L220+V221)-AF221</f>
      </c>
      <c r="AQ221" s="4">
        <f>(M220+W221)-AG221</f>
      </c>
      <c r="AR221" s="4">
        <f>(N220+X221)-AH221</f>
      </c>
      <c r="AS221" s="4">
        <f>(O220+Y221)-AI221</f>
      </c>
      <c r="AT221" s="4">
        <f>(P220+Z221)-AJ221</f>
      </c>
      <c r="AU221" s="4">
        <f>$B$16+SUM($K$5:$K$14)-SUM(AA221:AJ221)</f>
      </c>
      <c r="AV221" s="4">
        <f>AU221-BE221</f>
      </c>
      <c r="AW221" s="4">
        <f>AV221-BF221</f>
      </c>
      <c r="AX221" s="4">
        <f>AW221-BG221</f>
      </c>
      <c r="AY221" s="4">
        <f>AX221-BH221</f>
      </c>
      <c r="AZ221" s="4">
        <f>AY221-BI221</f>
      </c>
      <c r="BA221" s="4">
        <f>AZ221-BJ221</f>
      </c>
      <c r="BB221" s="4">
        <f>BA221-BK221</f>
      </c>
      <c r="BC221" s="4">
        <f>BB221-BL221</f>
      </c>
      <c r="BD221" s="4">
        <f>BC221-BM221</f>
      </c>
      <c r="BE221" s="4">
        <f>IF(G220&lt;=0,0,MIN(AU221,AK221))</f>
      </c>
      <c r="BF221" s="4">
        <f>IF(H220&lt;=0,0,MIN(AV221,AL221))</f>
      </c>
      <c r="BG221" s="4">
        <f>IF(I220&lt;=0,0,MIN(AW221,AM221))</f>
      </c>
      <c r="BH221" s="4">
        <f>IF(J220&lt;=0,0,MIN(AX221,AN221))</f>
      </c>
      <c r="BI221" s="4">
        <f>IF(K220&lt;=0,0,MIN(AY221,AO221))</f>
      </c>
      <c r="BJ221" s="4">
        <f>IF(L220&lt;=0,0,MIN(AZ221,AP221))</f>
      </c>
      <c r="BK221" s="4">
        <f>IF(M220&lt;=0,0,MIN(BA221,AQ221))</f>
      </c>
      <c r="BL221" s="4">
        <f>IF(N220&lt;=0,0,MIN(BB221,AR221))</f>
      </c>
      <c r="BM221" s="4">
        <f>IF(O220&lt;=0,0,MIN(BC221,AS221))</f>
      </c>
      <c r="BN221" s="4">
        <f>IF(P220&lt;=0,0,MIN(BD221,AT221))</f>
      </c>
    </row>
    <row r="222" spans="1:66" x14ac:dyDescent="0.25">
      <c r="A222">
        <v>195</v>
      </c>
      <c r="B222" s="7">
        <f>EDATE($B$17,195)</f>
      </c>
      <c r="C222" s="4">
        <f>SUM(G222:P222)</f>
      </c>
      <c r="D222" s="4">
        <f>SUM(Q222:Z222)</f>
      </c>
      <c r="E222" s="4">
        <f>SUM(AA222:AJ222)+SUM(BE222:BN222)</f>
      </c>
      <c r="G222" s="4">
        <f>MAX(0,AK222-BE222)</f>
      </c>
      <c r="H222" s="4">
        <f>MAX(0,AL222-BF222)</f>
      </c>
      <c r="I222" s="4">
        <f>MAX(0,AM222-BG222)</f>
      </c>
      <c r="J222" s="4">
        <f>MAX(0,AN222-BH222)</f>
      </c>
      <c r="K222" s="4">
        <f>MAX(0,AO222-BI222)</f>
      </c>
      <c r="L222" s="4">
        <f>MAX(0,AP222-BJ222)</f>
      </c>
      <c r="M222" s="4">
        <f>MAX(0,AQ222-BK222)</f>
      </c>
      <c r="N222" s="4">
        <f>MAX(0,AR222-BL222)</f>
      </c>
      <c r="O222" s="4">
        <f>MAX(0,AS222-BM222)</f>
      </c>
      <c r="P222" s="4">
        <f>MAX(0,AT222-BN222)</f>
      </c>
      <c r="Q222" s="4">
        <f>IF(G221&gt;0,G221*($J$5/100/12),0)</f>
      </c>
      <c r="R222" s="4">
        <f>IF(H221&gt;0,H221*($J$6/100/12),0)</f>
      </c>
      <c r="S222" s="4">
        <f>IF(I221&gt;0,I221*($J$7/100/12),0)</f>
      </c>
      <c r="T222" s="4">
        <f>IF(J221&gt;0,J221*($J$8/100/12),0)</f>
      </c>
      <c r="U222" s="4">
        <f>IF(K221&gt;0,K221*($J$9/100/12),0)</f>
      </c>
      <c r="V222" s="4">
        <f>IF(L221&gt;0,L221*($J$10/100/12),0)</f>
      </c>
      <c r="W222" s="4">
        <f>IF(M221&gt;0,M221*($J$11/100/12),0)</f>
      </c>
      <c r="X222" s="4">
        <f>IF(N221&gt;0,N221*($J$12/100/12),0)</f>
      </c>
      <c r="Y222" s="4">
        <f>IF(O221&gt;0,O221*($J$13/100/12),0)</f>
      </c>
      <c r="Z222" s="4">
        <f>IF(P221&gt;0,P221*($J$14/100/12),0)</f>
      </c>
      <c r="AA222" s="4">
        <f>IF(G221&lt;=0,0,MIN($K$5,(G221+Q222)))</f>
      </c>
      <c r="AB222" s="4">
        <f>IF(H221&lt;=0,0,MIN($K$6,(H221+R222)))</f>
      </c>
      <c r="AC222" s="4">
        <f>IF(I221&lt;=0,0,MIN($K$7,(I221+S222)))</f>
      </c>
      <c r="AD222" s="4">
        <f>IF(J221&lt;=0,0,MIN($K$8,(J221+T222)))</f>
      </c>
      <c r="AE222" s="4">
        <f>IF(K221&lt;=0,0,MIN($K$9,(K221+U222)))</f>
      </c>
      <c r="AF222" s="4">
        <f>IF(L221&lt;=0,0,MIN($K$10,(L221+V222)))</f>
      </c>
      <c r="AG222" s="4">
        <f>IF(M221&lt;=0,0,MIN($K$11,(M221+W222)))</f>
      </c>
      <c r="AH222" s="4">
        <f>IF(N221&lt;=0,0,MIN($K$12,(N221+X222)))</f>
      </c>
      <c r="AI222" s="4">
        <f>IF(O221&lt;=0,0,MIN($K$13,(O221+Y222)))</f>
      </c>
      <c r="AJ222" s="4">
        <f>IF(P221&lt;=0,0,MIN($K$14,(P221+Z222)))</f>
      </c>
      <c r="AK222" s="4">
        <f>(G221+Q222)-AA222</f>
      </c>
      <c r="AL222" s="4">
        <f>(H221+R222)-AB222</f>
      </c>
      <c r="AM222" s="4">
        <f>(I221+S222)-AC222</f>
      </c>
      <c r="AN222" s="4">
        <f>(J221+T222)-AD222</f>
      </c>
      <c r="AO222" s="4">
        <f>(K221+U222)-AE222</f>
      </c>
      <c r="AP222" s="4">
        <f>(L221+V222)-AF222</f>
      </c>
      <c r="AQ222" s="4">
        <f>(M221+W222)-AG222</f>
      </c>
      <c r="AR222" s="4">
        <f>(N221+X222)-AH222</f>
      </c>
      <c r="AS222" s="4">
        <f>(O221+Y222)-AI222</f>
      </c>
      <c r="AT222" s="4">
        <f>(P221+Z222)-AJ222</f>
      </c>
      <c r="AU222" s="4">
        <f>$B$16+SUM($K$5:$K$14)-SUM(AA222:AJ222)</f>
      </c>
      <c r="AV222" s="4">
        <f>AU222-BE222</f>
      </c>
      <c r="AW222" s="4">
        <f>AV222-BF222</f>
      </c>
      <c r="AX222" s="4">
        <f>AW222-BG222</f>
      </c>
      <c r="AY222" s="4">
        <f>AX222-BH222</f>
      </c>
      <c r="AZ222" s="4">
        <f>AY222-BI222</f>
      </c>
      <c r="BA222" s="4">
        <f>AZ222-BJ222</f>
      </c>
      <c r="BB222" s="4">
        <f>BA222-BK222</f>
      </c>
      <c r="BC222" s="4">
        <f>BB222-BL222</f>
      </c>
      <c r="BD222" s="4">
        <f>BC222-BM222</f>
      </c>
      <c r="BE222" s="4">
        <f>IF(G221&lt;=0,0,MIN(AU222,AK222))</f>
      </c>
      <c r="BF222" s="4">
        <f>IF(H221&lt;=0,0,MIN(AV222,AL222))</f>
      </c>
      <c r="BG222" s="4">
        <f>IF(I221&lt;=0,0,MIN(AW222,AM222))</f>
      </c>
      <c r="BH222" s="4">
        <f>IF(J221&lt;=0,0,MIN(AX222,AN222))</f>
      </c>
      <c r="BI222" s="4">
        <f>IF(K221&lt;=0,0,MIN(AY222,AO222))</f>
      </c>
      <c r="BJ222" s="4">
        <f>IF(L221&lt;=0,0,MIN(AZ222,AP222))</f>
      </c>
      <c r="BK222" s="4">
        <f>IF(M221&lt;=0,0,MIN(BA222,AQ222))</f>
      </c>
      <c r="BL222" s="4">
        <f>IF(N221&lt;=0,0,MIN(BB222,AR222))</f>
      </c>
      <c r="BM222" s="4">
        <f>IF(O221&lt;=0,0,MIN(BC222,AS222))</f>
      </c>
      <c r="BN222" s="4">
        <f>IF(P221&lt;=0,0,MIN(BD222,AT222))</f>
      </c>
    </row>
    <row r="223" spans="1:66" x14ac:dyDescent="0.25">
      <c r="A223">
        <v>196</v>
      </c>
      <c r="B223" s="7">
        <f>EDATE($B$17,196)</f>
      </c>
      <c r="C223" s="4">
        <f>SUM(G223:P223)</f>
      </c>
      <c r="D223" s="4">
        <f>SUM(Q223:Z223)</f>
      </c>
      <c r="E223" s="4">
        <f>SUM(AA223:AJ223)+SUM(BE223:BN223)</f>
      </c>
      <c r="G223" s="4">
        <f>MAX(0,AK223-BE223)</f>
      </c>
      <c r="H223" s="4">
        <f>MAX(0,AL223-BF223)</f>
      </c>
      <c r="I223" s="4">
        <f>MAX(0,AM223-BG223)</f>
      </c>
      <c r="J223" s="4">
        <f>MAX(0,AN223-BH223)</f>
      </c>
      <c r="K223" s="4">
        <f>MAX(0,AO223-BI223)</f>
      </c>
      <c r="L223" s="4">
        <f>MAX(0,AP223-BJ223)</f>
      </c>
      <c r="M223" s="4">
        <f>MAX(0,AQ223-BK223)</f>
      </c>
      <c r="N223" s="4">
        <f>MAX(0,AR223-BL223)</f>
      </c>
      <c r="O223" s="4">
        <f>MAX(0,AS223-BM223)</f>
      </c>
      <c r="P223" s="4">
        <f>MAX(0,AT223-BN223)</f>
      </c>
      <c r="Q223" s="4">
        <f>IF(G222&gt;0,G222*($J$5/100/12),0)</f>
      </c>
      <c r="R223" s="4">
        <f>IF(H222&gt;0,H222*($J$6/100/12),0)</f>
      </c>
      <c r="S223" s="4">
        <f>IF(I222&gt;0,I222*($J$7/100/12),0)</f>
      </c>
      <c r="T223" s="4">
        <f>IF(J222&gt;0,J222*($J$8/100/12),0)</f>
      </c>
      <c r="U223" s="4">
        <f>IF(K222&gt;0,K222*($J$9/100/12),0)</f>
      </c>
      <c r="V223" s="4">
        <f>IF(L222&gt;0,L222*($J$10/100/12),0)</f>
      </c>
      <c r="W223" s="4">
        <f>IF(M222&gt;0,M222*($J$11/100/12),0)</f>
      </c>
      <c r="X223" s="4">
        <f>IF(N222&gt;0,N222*($J$12/100/12),0)</f>
      </c>
      <c r="Y223" s="4">
        <f>IF(O222&gt;0,O222*($J$13/100/12),0)</f>
      </c>
      <c r="Z223" s="4">
        <f>IF(P222&gt;0,P222*($J$14/100/12),0)</f>
      </c>
      <c r="AA223" s="4">
        <f>IF(G222&lt;=0,0,MIN($K$5,(G222+Q223)))</f>
      </c>
      <c r="AB223" s="4">
        <f>IF(H222&lt;=0,0,MIN($K$6,(H222+R223)))</f>
      </c>
      <c r="AC223" s="4">
        <f>IF(I222&lt;=0,0,MIN($K$7,(I222+S223)))</f>
      </c>
      <c r="AD223" s="4">
        <f>IF(J222&lt;=0,0,MIN($K$8,(J222+T223)))</f>
      </c>
      <c r="AE223" s="4">
        <f>IF(K222&lt;=0,0,MIN($K$9,(K222+U223)))</f>
      </c>
      <c r="AF223" s="4">
        <f>IF(L222&lt;=0,0,MIN($K$10,(L222+V223)))</f>
      </c>
      <c r="AG223" s="4">
        <f>IF(M222&lt;=0,0,MIN($K$11,(M222+W223)))</f>
      </c>
      <c r="AH223" s="4">
        <f>IF(N222&lt;=0,0,MIN($K$12,(N222+X223)))</f>
      </c>
      <c r="AI223" s="4">
        <f>IF(O222&lt;=0,0,MIN($K$13,(O222+Y223)))</f>
      </c>
      <c r="AJ223" s="4">
        <f>IF(P222&lt;=0,0,MIN($K$14,(P222+Z223)))</f>
      </c>
      <c r="AK223" s="4">
        <f>(G222+Q223)-AA223</f>
      </c>
      <c r="AL223" s="4">
        <f>(H222+R223)-AB223</f>
      </c>
      <c r="AM223" s="4">
        <f>(I222+S223)-AC223</f>
      </c>
      <c r="AN223" s="4">
        <f>(J222+T223)-AD223</f>
      </c>
      <c r="AO223" s="4">
        <f>(K222+U223)-AE223</f>
      </c>
      <c r="AP223" s="4">
        <f>(L222+V223)-AF223</f>
      </c>
      <c r="AQ223" s="4">
        <f>(M222+W223)-AG223</f>
      </c>
      <c r="AR223" s="4">
        <f>(N222+X223)-AH223</f>
      </c>
      <c r="AS223" s="4">
        <f>(O222+Y223)-AI223</f>
      </c>
      <c r="AT223" s="4">
        <f>(P222+Z223)-AJ223</f>
      </c>
      <c r="AU223" s="4">
        <f>$B$16+SUM($K$5:$K$14)-SUM(AA223:AJ223)</f>
      </c>
      <c r="AV223" s="4">
        <f>AU223-BE223</f>
      </c>
      <c r="AW223" s="4">
        <f>AV223-BF223</f>
      </c>
      <c r="AX223" s="4">
        <f>AW223-BG223</f>
      </c>
      <c r="AY223" s="4">
        <f>AX223-BH223</f>
      </c>
      <c r="AZ223" s="4">
        <f>AY223-BI223</f>
      </c>
      <c r="BA223" s="4">
        <f>AZ223-BJ223</f>
      </c>
      <c r="BB223" s="4">
        <f>BA223-BK223</f>
      </c>
      <c r="BC223" s="4">
        <f>BB223-BL223</f>
      </c>
      <c r="BD223" s="4">
        <f>BC223-BM223</f>
      </c>
      <c r="BE223" s="4">
        <f>IF(G222&lt;=0,0,MIN(AU223,AK223))</f>
      </c>
      <c r="BF223" s="4">
        <f>IF(H222&lt;=0,0,MIN(AV223,AL223))</f>
      </c>
      <c r="BG223" s="4">
        <f>IF(I222&lt;=0,0,MIN(AW223,AM223))</f>
      </c>
      <c r="BH223" s="4">
        <f>IF(J222&lt;=0,0,MIN(AX223,AN223))</f>
      </c>
      <c r="BI223" s="4">
        <f>IF(K222&lt;=0,0,MIN(AY223,AO223))</f>
      </c>
      <c r="BJ223" s="4">
        <f>IF(L222&lt;=0,0,MIN(AZ223,AP223))</f>
      </c>
      <c r="BK223" s="4">
        <f>IF(M222&lt;=0,0,MIN(BA223,AQ223))</f>
      </c>
      <c r="BL223" s="4">
        <f>IF(N222&lt;=0,0,MIN(BB223,AR223))</f>
      </c>
      <c r="BM223" s="4">
        <f>IF(O222&lt;=0,0,MIN(BC223,AS223))</f>
      </c>
      <c r="BN223" s="4">
        <f>IF(P222&lt;=0,0,MIN(BD223,AT223))</f>
      </c>
    </row>
    <row r="224" spans="1:66" x14ac:dyDescent="0.25">
      <c r="A224">
        <v>197</v>
      </c>
      <c r="B224" s="7">
        <f>EDATE($B$17,197)</f>
      </c>
      <c r="C224" s="4">
        <f>SUM(G224:P224)</f>
      </c>
      <c r="D224" s="4">
        <f>SUM(Q224:Z224)</f>
      </c>
      <c r="E224" s="4">
        <f>SUM(AA224:AJ224)+SUM(BE224:BN224)</f>
      </c>
      <c r="G224" s="4">
        <f>MAX(0,AK224-BE224)</f>
      </c>
      <c r="H224" s="4">
        <f>MAX(0,AL224-BF224)</f>
      </c>
      <c r="I224" s="4">
        <f>MAX(0,AM224-BG224)</f>
      </c>
      <c r="J224" s="4">
        <f>MAX(0,AN224-BH224)</f>
      </c>
      <c r="K224" s="4">
        <f>MAX(0,AO224-BI224)</f>
      </c>
      <c r="L224" s="4">
        <f>MAX(0,AP224-BJ224)</f>
      </c>
      <c r="M224" s="4">
        <f>MAX(0,AQ224-BK224)</f>
      </c>
      <c r="N224" s="4">
        <f>MAX(0,AR224-BL224)</f>
      </c>
      <c r="O224" s="4">
        <f>MAX(0,AS224-BM224)</f>
      </c>
      <c r="P224" s="4">
        <f>MAX(0,AT224-BN224)</f>
      </c>
      <c r="Q224" s="4">
        <f>IF(G223&gt;0,G223*($J$5/100/12),0)</f>
      </c>
      <c r="R224" s="4">
        <f>IF(H223&gt;0,H223*($J$6/100/12),0)</f>
      </c>
      <c r="S224" s="4">
        <f>IF(I223&gt;0,I223*($J$7/100/12),0)</f>
      </c>
      <c r="T224" s="4">
        <f>IF(J223&gt;0,J223*($J$8/100/12),0)</f>
      </c>
      <c r="U224" s="4">
        <f>IF(K223&gt;0,K223*($J$9/100/12),0)</f>
      </c>
      <c r="V224" s="4">
        <f>IF(L223&gt;0,L223*($J$10/100/12),0)</f>
      </c>
      <c r="W224" s="4">
        <f>IF(M223&gt;0,M223*($J$11/100/12),0)</f>
      </c>
      <c r="X224" s="4">
        <f>IF(N223&gt;0,N223*($J$12/100/12),0)</f>
      </c>
      <c r="Y224" s="4">
        <f>IF(O223&gt;0,O223*($J$13/100/12),0)</f>
      </c>
      <c r="Z224" s="4">
        <f>IF(P223&gt;0,P223*($J$14/100/12),0)</f>
      </c>
      <c r="AA224" s="4">
        <f>IF(G223&lt;=0,0,MIN($K$5,(G223+Q224)))</f>
      </c>
      <c r="AB224" s="4">
        <f>IF(H223&lt;=0,0,MIN($K$6,(H223+R224)))</f>
      </c>
      <c r="AC224" s="4">
        <f>IF(I223&lt;=0,0,MIN($K$7,(I223+S224)))</f>
      </c>
      <c r="AD224" s="4">
        <f>IF(J223&lt;=0,0,MIN($K$8,(J223+T224)))</f>
      </c>
      <c r="AE224" s="4">
        <f>IF(K223&lt;=0,0,MIN($K$9,(K223+U224)))</f>
      </c>
      <c r="AF224" s="4">
        <f>IF(L223&lt;=0,0,MIN($K$10,(L223+V224)))</f>
      </c>
      <c r="AG224" s="4">
        <f>IF(M223&lt;=0,0,MIN($K$11,(M223+W224)))</f>
      </c>
      <c r="AH224" s="4">
        <f>IF(N223&lt;=0,0,MIN($K$12,(N223+X224)))</f>
      </c>
      <c r="AI224" s="4">
        <f>IF(O223&lt;=0,0,MIN($K$13,(O223+Y224)))</f>
      </c>
      <c r="AJ224" s="4">
        <f>IF(P223&lt;=0,0,MIN($K$14,(P223+Z224)))</f>
      </c>
      <c r="AK224" s="4">
        <f>(G223+Q224)-AA224</f>
      </c>
      <c r="AL224" s="4">
        <f>(H223+R224)-AB224</f>
      </c>
      <c r="AM224" s="4">
        <f>(I223+S224)-AC224</f>
      </c>
      <c r="AN224" s="4">
        <f>(J223+T224)-AD224</f>
      </c>
      <c r="AO224" s="4">
        <f>(K223+U224)-AE224</f>
      </c>
      <c r="AP224" s="4">
        <f>(L223+V224)-AF224</f>
      </c>
      <c r="AQ224" s="4">
        <f>(M223+W224)-AG224</f>
      </c>
      <c r="AR224" s="4">
        <f>(N223+X224)-AH224</f>
      </c>
      <c r="AS224" s="4">
        <f>(O223+Y224)-AI224</f>
      </c>
      <c r="AT224" s="4">
        <f>(P223+Z224)-AJ224</f>
      </c>
      <c r="AU224" s="4">
        <f>$B$16+SUM($K$5:$K$14)-SUM(AA224:AJ224)</f>
      </c>
      <c r="AV224" s="4">
        <f>AU224-BE224</f>
      </c>
      <c r="AW224" s="4">
        <f>AV224-BF224</f>
      </c>
      <c r="AX224" s="4">
        <f>AW224-BG224</f>
      </c>
      <c r="AY224" s="4">
        <f>AX224-BH224</f>
      </c>
      <c r="AZ224" s="4">
        <f>AY224-BI224</f>
      </c>
      <c r="BA224" s="4">
        <f>AZ224-BJ224</f>
      </c>
      <c r="BB224" s="4">
        <f>BA224-BK224</f>
      </c>
      <c r="BC224" s="4">
        <f>BB224-BL224</f>
      </c>
      <c r="BD224" s="4">
        <f>BC224-BM224</f>
      </c>
      <c r="BE224" s="4">
        <f>IF(G223&lt;=0,0,MIN(AU224,AK224))</f>
      </c>
      <c r="BF224" s="4">
        <f>IF(H223&lt;=0,0,MIN(AV224,AL224))</f>
      </c>
      <c r="BG224" s="4">
        <f>IF(I223&lt;=0,0,MIN(AW224,AM224))</f>
      </c>
      <c r="BH224" s="4">
        <f>IF(J223&lt;=0,0,MIN(AX224,AN224))</f>
      </c>
      <c r="BI224" s="4">
        <f>IF(K223&lt;=0,0,MIN(AY224,AO224))</f>
      </c>
      <c r="BJ224" s="4">
        <f>IF(L223&lt;=0,0,MIN(AZ224,AP224))</f>
      </c>
      <c r="BK224" s="4">
        <f>IF(M223&lt;=0,0,MIN(BA224,AQ224))</f>
      </c>
      <c r="BL224" s="4">
        <f>IF(N223&lt;=0,0,MIN(BB224,AR224))</f>
      </c>
      <c r="BM224" s="4">
        <f>IF(O223&lt;=0,0,MIN(BC224,AS224))</f>
      </c>
      <c r="BN224" s="4">
        <f>IF(P223&lt;=0,0,MIN(BD224,AT224))</f>
      </c>
    </row>
    <row r="225" spans="1:66" x14ac:dyDescent="0.25">
      <c r="A225">
        <v>198</v>
      </c>
      <c r="B225" s="7">
        <f>EDATE($B$17,198)</f>
      </c>
      <c r="C225" s="4">
        <f>SUM(G225:P225)</f>
      </c>
      <c r="D225" s="4">
        <f>SUM(Q225:Z225)</f>
      </c>
      <c r="E225" s="4">
        <f>SUM(AA225:AJ225)+SUM(BE225:BN225)</f>
      </c>
      <c r="G225" s="4">
        <f>MAX(0,AK225-BE225)</f>
      </c>
      <c r="H225" s="4">
        <f>MAX(0,AL225-BF225)</f>
      </c>
      <c r="I225" s="4">
        <f>MAX(0,AM225-BG225)</f>
      </c>
      <c r="J225" s="4">
        <f>MAX(0,AN225-BH225)</f>
      </c>
      <c r="K225" s="4">
        <f>MAX(0,AO225-BI225)</f>
      </c>
      <c r="L225" s="4">
        <f>MAX(0,AP225-BJ225)</f>
      </c>
      <c r="M225" s="4">
        <f>MAX(0,AQ225-BK225)</f>
      </c>
      <c r="N225" s="4">
        <f>MAX(0,AR225-BL225)</f>
      </c>
      <c r="O225" s="4">
        <f>MAX(0,AS225-BM225)</f>
      </c>
      <c r="P225" s="4">
        <f>MAX(0,AT225-BN225)</f>
      </c>
      <c r="Q225" s="4">
        <f>IF(G224&gt;0,G224*($J$5/100/12),0)</f>
      </c>
      <c r="R225" s="4">
        <f>IF(H224&gt;0,H224*($J$6/100/12),0)</f>
      </c>
      <c r="S225" s="4">
        <f>IF(I224&gt;0,I224*($J$7/100/12),0)</f>
      </c>
      <c r="T225" s="4">
        <f>IF(J224&gt;0,J224*($J$8/100/12),0)</f>
      </c>
      <c r="U225" s="4">
        <f>IF(K224&gt;0,K224*($J$9/100/12),0)</f>
      </c>
      <c r="V225" s="4">
        <f>IF(L224&gt;0,L224*($J$10/100/12),0)</f>
      </c>
      <c r="W225" s="4">
        <f>IF(M224&gt;0,M224*($J$11/100/12),0)</f>
      </c>
      <c r="X225" s="4">
        <f>IF(N224&gt;0,N224*($J$12/100/12),0)</f>
      </c>
      <c r="Y225" s="4">
        <f>IF(O224&gt;0,O224*($J$13/100/12),0)</f>
      </c>
      <c r="Z225" s="4">
        <f>IF(P224&gt;0,P224*($J$14/100/12),0)</f>
      </c>
      <c r="AA225" s="4">
        <f>IF(G224&lt;=0,0,MIN($K$5,(G224+Q225)))</f>
      </c>
      <c r="AB225" s="4">
        <f>IF(H224&lt;=0,0,MIN($K$6,(H224+R225)))</f>
      </c>
      <c r="AC225" s="4">
        <f>IF(I224&lt;=0,0,MIN($K$7,(I224+S225)))</f>
      </c>
      <c r="AD225" s="4">
        <f>IF(J224&lt;=0,0,MIN($K$8,(J224+T225)))</f>
      </c>
      <c r="AE225" s="4">
        <f>IF(K224&lt;=0,0,MIN($K$9,(K224+U225)))</f>
      </c>
      <c r="AF225" s="4">
        <f>IF(L224&lt;=0,0,MIN($K$10,(L224+V225)))</f>
      </c>
      <c r="AG225" s="4">
        <f>IF(M224&lt;=0,0,MIN($K$11,(M224+W225)))</f>
      </c>
      <c r="AH225" s="4">
        <f>IF(N224&lt;=0,0,MIN($K$12,(N224+X225)))</f>
      </c>
      <c r="AI225" s="4">
        <f>IF(O224&lt;=0,0,MIN($K$13,(O224+Y225)))</f>
      </c>
      <c r="AJ225" s="4">
        <f>IF(P224&lt;=0,0,MIN($K$14,(P224+Z225)))</f>
      </c>
      <c r="AK225" s="4">
        <f>(G224+Q225)-AA225</f>
      </c>
      <c r="AL225" s="4">
        <f>(H224+R225)-AB225</f>
      </c>
      <c r="AM225" s="4">
        <f>(I224+S225)-AC225</f>
      </c>
      <c r="AN225" s="4">
        <f>(J224+T225)-AD225</f>
      </c>
      <c r="AO225" s="4">
        <f>(K224+U225)-AE225</f>
      </c>
      <c r="AP225" s="4">
        <f>(L224+V225)-AF225</f>
      </c>
      <c r="AQ225" s="4">
        <f>(M224+W225)-AG225</f>
      </c>
      <c r="AR225" s="4">
        <f>(N224+X225)-AH225</f>
      </c>
      <c r="AS225" s="4">
        <f>(O224+Y225)-AI225</f>
      </c>
      <c r="AT225" s="4">
        <f>(P224+Z225)-AJ225</f>
      </c>
      <c r="AU225" s="4">
        <f>$B$16+SUM($K$5:$K$14)-SUM(AA225:AJ225)</f>
      </c>
      <c r="AV225" s="4">
        <f>AU225-BE225</f>
      </c>
      <c r="AW225" s="4">
        <f>AV225-BF225</f>
      </c>
      <c r="AX225" s="4">
        <f>AW225-BG225</f>
      </c>
      <c r="AY225" s="4">
        <f>AX225-BH225</f>
      </c>
      <c r="AZ225" s="4">
        <f>AY225-BI225</f>
      </c>
      <c r="BA225" s="4">
        <f>AZ225-BJ225</f>
      </c>
      <c r="BB225" s="4">
        <f>BA225-BK225</f>
      </c>
      <c r="BC225" s="4">
        <f>BB225-BL225</f>
      </c>
      <c r="BD225" s="4">
        <f>BC225-BM225</f>
      </c>
      <c r="BE225" s="4">
        <f>IF(G224&lt;=0,0,MIN(AU225,AK225))</f>
      </c>
      <c r="BF225" s="4">
        <f>IF(H224&lt;=0,0,MIN(AV225,AL225))</f>
      </c>
      <c r="BG225" s="4">
        <f>IF(I224&lt;=0,0,MIN(AW225,AM225))</f>
      </c>
      <c r="BH225" s="4">
        <f>IF(J224&lt;=0,0,MIN(AX225,AN225))</f>
      </c>
      <c r="BI225" s="4">
        <f>IF(K224&lt;=0,0,MIN(AY225,AO225))</f>
      </c>
      <c r="BJ225" s="4">
        <f>IF(L224&lt;=0,0,MIN(AZ225,AP225))</f>
      </c>
      <c r="BK225" s="4">
        <f>IF(M224&lt;=0,0,MIN(BA225,AQ225))</f>
      </c>
      <c r="BL225" s="4">
        <f>IF(N224&lt;=0,0,MIN(BB225,AR225))</f>
      </c>
      <c r="BM225" s="4">
        <f>IF(O224&lt;=0,0,MIN(BC225,AS225))</f>
      </c>
      <c r="BN225" s="4">
        <f>IF(P224&lt;=0,0,MIN(BD225,AT225))</f>
      </c>
    </row>
    <row r="226" spans="1:66" x14ac:dyDescent="0.25">
      <c r="A226">
        <v>199</v>
      </c>
      <c r="B226" s="7">
        <f>EDATE($B$17,199)</f>
      </c>
      <c r="C226" s="4">
        <f>SUM(G226:P226)</f>
      </c>
      <c r="D226" s="4">
        <f>SUM(Q226:Z226)</f>
      </c>
      <c r="E226" s="4">
        <f>SUM(AA226:AJ226)+SUM(BE226:BN226)</f>
      </c>
      <c r="G226" s="4">
        <f>MAX(0,AK226-BE226)</f>
      </c>
      <c r="H226" s="4">
        <f>MAX(0,AL226-BF226)</f>
      </c>
      <c r="I226" s="4">
        <f>MAX(0,AM226-BG226)</f>
      </c>
      <c r="J226" s="4">
        <f>MAX(0,AN226-BH226)</f>
      </c>
      <c r="K226" s="4">
        <f>MAX(0,AO226-BI226)</f>
      </c>
      <c r="L226" s="4">
        <f>MAX(0,AP226-BJ226)</f>
      </c>
      <c r="M226" s="4">
        <f>MAX(0,AQ226-BK226)</f>
      </c>
      <c r="N226" s="4">
        <f>MAX(0,AR226-BL226)</f>
      </c>
      <c r="O226" s="4">
        <f>MAX(0,AS226-BM226)</f>
      </c>
      <c r="P226" s="4">
        <f>MAX(0,AT226-BN226)</f>
      </c>
      <c r="Q226" s="4">
        <f>IF(G225&gt;0,G225*($J$5/100/12),0)</f>
      </c>
      <c r="R226" s="4">
        <f>IF(H225&gt;0,H225*($J$6/100/12),0)</f>
      </c>
      <c r="S226" s="4">
        <f>IF(I225&gt;0,I225*($J$7/100/12),0)</f>
      </c>
      <c r="T226" s="4">
        <f>IF(J225&gt;0,J225*($J$8/100/12),0)</f>
      </c>
      <c r="U226" s="4">
        <f>IF(K225&gt;0,K225*($J$9/100/12),0)</f>
      </c>
      <c r="V226" s="4">
        <f>IF(L225&gt;0,L225*($J$10/100/12),0)</f>
      </c>
      <c r="W226" s="4">
        <f>IF(M225&gt;0,M225*($J$11/100/12),0)</f>
      </c>
      <c r="X226" s="4">
        <f>IF(N225&gt;0,N225*($J$12/100/12),0)</f>
      </c>
      <c r="Y226" s="4">
        <f>IF(O225&gt;0,O225*($J$13/100/12),0)</f>
      </c>
      <c r="Z226" s="4">
        <f>IF(P225&gt;0,P225*($J$14/100/12),0)</f>
      </c>
      <c r="AA226" s="4">
        <f>IF(G225&lt;=0,0,MIN($K$5,(G225+Q226)))</f>
      </c>
      <c r="AB226" s="4">
        <f>IF(H225&lt;=0,0,MIN($K$6,(H225+R226)))</f>
      </c>
      <c r="AC226" s="4">
        <f>IF(I225&lt;=0,0,MIN($K$7,(I225+S226)))</f>
      </c>
      <c r="AD226" s="4">
        <f>IF(J225&lt;=0,0,MIN($K$8,(J225+T226)))</f>
      </c>
      <c r="AE226" s="4">
        <f>IF(K225&lt;=0,0,MIN($K$9,(K225+U226)))</f>
      </c>
      <c r="AF226" s="4">
        <f>IF(L225&lt;=0,0,MIN($K$10,(L225+V226)))</f>
      </c>
      <c r="AG226" s="4">
        <f>IF(M225&lt;=0,0,MIN($K$11,(M225+W226)))</f>
      </c>
      <c r="AH226" s="4">
        <f>IF(N225&lt;=0,0,MIN($K$12,(N225+X226)))</f>
      </c>
      <c r="AI226" s="4">
        <f>IF(O225&lt;=0,0,MIN($K$13,(O225+Y226)))</f>
      </c>
      <c r="AJ226" s="4">
        <f>IF(P225&lt;=0,0,MIN($K$14,(P225+Z226)))</f>
      </c>
      <c r="AK226" s="4">
        <f>(G225+Q226)-AA226</f>
      </c>
      <c r="AL226" s="4">
        <f>(H225+R226)-AB226</f>
      </c>
      <c r="AM226" s="4">
        <f>(I225+S226)-AC226</f>
      </c>
      <c r="AN226" s="4">
        <f>(J225+T226)-AD226</f>
      </c>
      <c r="AO226" s="4">
        <f>(K225+U226)-AE226</f>
      </c>
      <c r="AP226" s="4">
        <f>(L225+V226)-AF226</f>
      </c>
      <c r="AQ226" s="4">
        <f>(M225+W226)-AG226</f>
      </c>
      <c r="AR226" s="4">
        <f>(N225+X226)-AH226</f>
      </c>
      <c r="AS226" s="4">
        <f>(O225+Y226)-AI226</f>
      </c>
      <c r="AT226" s="4">
        <f>(P225+Z226)-AJ226</f>
      </c>
      <c r="AU226" s="4">
        <f>$B$16+SUM($K$5:$K$14)-SUM(AA226:AJ226)</f>
      </c>
      <c r="AV226" s="4">
        <f>AU226-BE226</f>
      </c>
      <c r="AW226" s="4">
        <f>AV226-BF226</f>
      </c>
      <c r="AX226" s="4">
        <f>AW226-BG226</f>
      </c>
      <c r="AY226" s="4">
        <f>AX226-BH226</f>
      </c>
      <c r="AZ226" s="4">
        <f>AY226-BI226</f>
      </c>
      <c r="BA226" s="4">
        <f>AZ226-BJ226</f>
      </c>
      <c r="BB226" s="4">
        <f>BA226-BK226</f>
      </c>
      <c r="BC226" s="4">
        <f>BB226-BL226</f>
      </c>
      <c r="BD226" s="4">
        <f>BC226-BM226</f>
      </c>
      <c r="BE226" s="4">
        <f>IF(G225&lt;=0,0,MIN(AU226,AK226))</f>
      </c>
      <c r="BF226" s="4">
        <f>IF(H225&lt;=0,0,MIN(AV226,AL226))</f>
      </c>
      <c r="BG226" s="4">
        <f>IF(I225&lt;=0,0,MIN(AW226,AM226))</f>
      </c>
      <c r="BH226" s="4">
        <f>IF(J225&lt;=0,0,MIN(AX226,AN226))</f>
      </c>
      <c r="BI226" s="4">
        <f>IF(K225&lt;=0,0,MIN(AY226,AO226))</f>
      </c>
      <c r="BJ226" s="4">
        <f>IF(L225&lt;=0,0,MIN(AZ226,AP226))</f>
      </c>
      <c r="BK226" s="4">
        <f>IF(M225&lt;=0,0,MIN(BA226,AQ226))</f>
      </c>
      <c r="BL226" s="4">
        <f>IF(N225&lt;=0,0,MIN(BB226,AR226))</f>
      </c>
      <c r="BM226" s="4">
        <f>IF(O225&lt;=0,0,MIN(BC226,AS226))</f>
      </c>
      <c r="BN226" s="4">
        <f>IF(P225&lt;=0,0,MIN(BD226,AT226))</f>
      </c>
    </row>
    <row r="227" spans="1:66" x14ac:dyDescent="0.25">
      <c r="A227">
        <v>200</v>
      </c>
      <c r="B227" s="7">
        <f>EDATE($B$17,200)</f>
      </c>
      <c r="C227" s="4">
        <f>SUM(G227:P227)</f>
      </c>
      <c r="D227" s="4">
        <f>SUM(Q227:Z227)</f>
      </c>
      <c r="E227" s="4">
        <f>SUM(AA227:AJ227)+SUM(BE227:BN227)</f>
      </c>
      <c r="G227" s="4">
        <f>MAX(0,AK227-BE227)</f>
      </c>
      <c r="H227" s="4">
        <f>MAX(0,AL227-BF227)</f>
      </c>
      <c r="I227" s="4">
        <f>MAX(0,AM227-BG227)</f>
      </c>
      <c r="J227" s="4">
        <f>MAX(0,AN227-BH227)</f>
      </c>
      <c r="K227" s="4">
        <f>MAX(0,AO227-BI227)</f>
      </c>
      <c r="L227" s="4">
        <f>MAX(0,AP227-BJ227)</f>
      </c>
      <c r="M227" s="4">
        <f>MAX(0,AQ227-BK227)</f>
      </c>
      <c r="N227" s="4">
        <f>MAX(0,AR227-BL227)</f>
      </c>
      <c r="O227" s="4">
        <f>MAX(0,AS227-BM227)</f>
      </c>
      <c r="P227" s="4">
        <f>MAX(0,AT227-BN227)</f>
      </c>
      <c r="Q227" s="4">
        <f>IF(G226&gt;0,G226*($J$5/100/12),0)</f>
      </c>
      <c r="R227" s="4">
        <f>IF(H226&gt;0,H226*($J$6/100/12),0)</f>
      </c>
      <c r="S227" s="4">
        <f>IF(I226&gt;0,I226*($J$7/100/12),0)</f>
      </c>
      <c r="T227" s="4">
        <f>IF(J226&gt;0,J226*($J$8/100/12),0)</f>
      </c>
      <c r="U227" s="4">
        <f>IF(K226&gt;0,K226*($J$9/100/12),0)</f>
      </c>
      <c r="V227" s="4">
        <f>IF(L226&gt;0,L226*($J$10/100/12),0)</f>
      </c>
      <c r="W227" s="4">
        <f>IF(M226&gt;0,M226*($J$11/100/12),0)</f>
      </c>
      <c r="X227" s="4">
        <f>IF(N226&gt;0,N226*($J$12/100/12),0)</f>
      </c>
      <c r="Y227" s="4">
        <f>IF(O226&gt;0,O226*($J$13/100/12),0)</f>
      </c>
      <c r="Z227" s="4">
        <f>IF(P226&gt;0,P226*($J$14/100/12),0)</f>
      </c>
      <c r="AA227" s="4">
        <f>IF(G226&lt;=0,0,MIN($K$5,(G226+Q227)))</f>
      </c>
      <c r="AB227" s="4">
        <f>IF(H226&lt;=0,0,MIN($K$6,(H226+R227)))</f>
      </c>
      <c r="AC227" s="4">
        <f>IF(I226&lt;=0,0,MIN($K$7,(I226+S227)))</f>
      </c>
      <c r="AD227" s="4">
        <f>IF(J226&lt;=0,0,MIN($K$8,(J226+T227)))</f>
      </c>
      <c r="AE227" s="4">
        <f>IF(K226&lt;=0,0,MIN($K$9,(K226+U227)))</f>
      </c>
      <c r="AF227" s="4">
        <f>IF(L226&lt;=0,0,MIN($K$10,(L226+V227)))</f>
      </c>
      <c r="AG227" s="4">
        <f>IF(M226&lt;=0,0,MIN($K$11,(M226+W227)))</f>
      </c>
      <c r="AH227" s="4">
        <f>IF(N226&lt;=0,0,MIN($K$12,(N226+X227)))</f>
      </c>
      <c r="AI227" s="4">
        <f>IF(O226&lt;=0,0,MIN($K$13,(O226+Y227)))</f>
      </c>
      <c r="AJ227" s="4">
        <f>IF(P226&lt;=0,0,MIN($K$14,(P226+Z227)))</f>
      </c>
      <c r="AK227" s="4">
        <f>(G226+Q227)-AA227</f>
      </c>
      <c r="AL227" s="4">
        <f>(H226+R227)-AB227</f>
      </c>
      <c r="AM227" s="4">
        <f>(I226+S227)-AC227</f>
      </c>
      <c r="AN227" s="4">
        <f>(J226+T227)-AD227</f>
      </c>
      <c r="AO227" s="4">
        <f>(K226+U227)-AE227</f>
      </c>
      <c r="AP227" s="4">
        <f>(L226+V227)-AF227</f>
      </c>
      <c r="AQ227" s="4">
        <f>(M226+W227)-AG227</f>
      </c>
      <c r="AR227" s="4">
        <f>(N226+X227)-AH227</f>
      </c>
      <c r="AS227" s="4">
        <f>(O226+Y227)-AI227</f>
      </c>
      <c r="AT227" s="4">
        <f>(P226+Z227)-AJ227</f>
      </c>
      <c r="AU227" s="4">
        <f>$B$16+SUM($K$5:$K$14)-SUM(AA227:AJ227)</f>
      </c>
      <c r="AV227" s="4">
        <f>AU227-BE227</f>
      </c>
      <c r="AW227" s="4">
        <f>AV227-BF227</f>
      </c>
      <c r="AX227" s="4">
        <f>AW227-BG227</f>
      </c>
      <c r="AY227" s="4">
        <f>AX227-BH227</f>
      </c>
      <c r="AZ227" s="4">
        <f>AY227-BI227</f>
      </c>
      <c r="BA227" s="4">
        <f>AZ227-BJ227</f>
      </c>
      <c r="BB227" s="4">
        <f>BA227-BK227</f>
      </c>
      <c r="BC227" s="4">
        <f>BB227-BL227</f>
      </c>
      <c r="BD227" s="4">
        <f>BC227-BM227</f>
      </c>
      <c r="BE227" s="4">
        <f>IF(G226&lt;=0,0,MIN(AU227,AK227))</f>
      </c>
      <c r="BF227" s="4">
        <f>IF(H226&lt;=0,0,MIN(AV227,AL227))</f>
      </c>
      <c r="BG227" s="4">
        <f>IF(I226&lt;=0,0,MIN(AW227,AM227))</f>
      </c>
      <c r="BH227" s="4">
        <f>IF(J226&lt;=0,0,MIN(AX227,AN227))</f>
      </c>
      <c r="BI227" s="4">
        <f>IF(K226&lt;=0,0,MIN(AY227,AO227))</f>
      </c>
      <c r="BJ227" s="4">
        <f>IF(L226&lt;=0,0,MIN(AZ227,AP227))</f>
      </c>
      <c r="BK227" s="4">
        <f>IF(M226&lt;=0,0,MIN(BA227,AQ227))</f>
      </c>
      <c r="BL227" s="4">
        <f>IF(N226&lt;=0,0,MIN(BB227,AR227))</f>
      </c>
      <c r="BM227" s="4">
        <f>IF(O226&lt;=0,0,MIN(BC227,AS227))</f>
      </c>
      <c r="BN227" s="4">
        <f>IF(P226&lt;=0,0,MIN(BD227,AT227))</f>
      </c>
    </row>
    <row r="228" spans="1:66" x14ac:dyDescent="0.25">
      <c r="A228">
        <v>201</v>
      </c>
      <c r="B228" s="7">
        <f>EDATE($B$17,201)</f>
      </c>
      <c r="C228" s="4">
        <f>SUM(G228:P228)</f>
      </c>
      <c r="D228" s="4">
        <f>SUM(Q228:Z228)</f>
      </c>
      <c r="E228" s="4">
        <f>SUM(AA228:AJ228)+SUM(BE228:BN228)</f>
      </c>
      <c r="G228" s="4">
        <f>MAX(0,AK228-BE228)</f>
      </c>
      <c r="H228" s="4">
        <f>MAX(0,AL228-BF228)</f>
      </c>
      <c r="I228" s="4">
        <f>MAX(0,AM228-BG228)</f>
      </c>
      <c r="J228" s="4">
        <f>MAX(0,AN228-BH228)</f>
      </c>
      <c r="K228" s="4">
        <f>MAX(0,AO228-BI228)</f>
      </c>
      <c r="L228" s="4">
        <f>MAX(0,AP228-BJ228)</f>
      </c>
      <c r="M228" s="4">
        <f>MAX(0,AQ228-BK228)</f>
      </c>
      <c r="N228" s="4">
        <f>MAX(0,AR228-BL228)</f>
      </c>
      <c r="O228" s="4">
        <f>MAX(0,AS228-BM228)</f>
      </c>
      <c r="P228" s="4">
        <f>MAX(0,AT228-BN228)</f>
      </c>
      <c r="Q228" s="4">
        <f>IF(G227&gt;0,G227*($J$5/100/12),0)</f>
      </c>
      <c r="R228" s="4">
        <f>IF(H227&gt;0,H227*($J$6/100/12),0)</f>
      </c>
      <c r="S228" s="4">
        <f>IF(I227&gt;0,I227*($J$7/100/12),0)</f>
      </c>
      <c r="T228" s="4">
        <f>IF(J227&gt;0,J227*($J$8/100/12),0)</f>
      </c>
      <c r="U228" s="4">
        <f>IF(K227&gt;0,K227*($J$9/100/12),0)</f>
      </c>
      <c r="V228" s="4">
        <f>IF(L227&gt;0,L227*($J$10/100/12),0)</f>
      </c>
      <c r="W228" s="4">
        <f>IF(M227&gt;0,M227*($J$11/100/12),0)</f>
      </c>
      <c r="X228" s="4">
        <f>IF(N227&gt;0,N227*($J$12/100/12),0)</f>
      </c>
      <c r="Y228" s="4">
        <f>IF(O227&gt;0,O227*($J$13/100/12),0)</f>
      </c>
      <c r="Z228" s="4">
        <f>IF(P227&gt;0,P227*($J$14/100/12),0)</f>
      </c>
      <c r="AA228" s="4">
        <f>IF(G227&lt;=0,0,MIN($K$5,(G227+Q228)))</f>
      </c>
      <c r="AB228" s="4">
        <f>IF(H227&lt;=0,0,MIN($K$6,(H227+R228)))</f>
      </c>
      <c r="AC228" s="4">
        <f>IF(I227&lt;=0,0,MIN($K$7,(I227+S228)))</f>
      </c>
      <c r="AD228" s="4">
        <f>IF(J227&lt;=0,0,MIN($K$8,(J227+T228)))</f>
      </c>
      <c r="AE228" s="4">
        <f>IF(K227&lt;=0,0,MIN($K$9,(K227+U228)))</f>
      </c>
      <c r="AF228" s="4">
        <f>IF(L227&lt;=0,0,MIN($K$10,(L227+V228)))</f>
      </c>
      <c r="AG228" s="4">
        <f>IF(M227&lt;=0,0,MIN($K$11,(M227+W228)))</f>
      </c>
      <c r="AH228" s="4">
        <f>IF(N227&lt;=0,0,MIN($K$12,(N227+X228)))</f>
      </c>
      <c r="AI228" s="4">
        <f>IF(O227&lt;=0,0,MIN($K$13,(O227+Y228)))</f>
      </c>
      <c r="AJ228" s="4">
        <f>IF(P227&lt;=0,0,MIN($K$14,(P227+Z228)))</f>
      </c>
      <c r="AK228" s="4">
        <f>(G227+Q228)-AA228</f>
      </c>
      <c r="AL228" s="4">
        <f>(H227+R228)-AB228</f>
      </c>
      <c r="AM228" s="4">
        <f>(I227+S228)-AC228</f>
      </c>
      <c r="AN228" s="4">
        <f>(J227+T228)-AD228</f>
      </c>
      <c r="AO228" s="4">
        <f>(K227+U228)-AE228</f>
      </c>
      <c r="AP228" s="4">
        <f>(L227+V228)-AF228</f>
      </c>
      <c r="AQ228" s="4">
        <f>(M227+W228)-AG228</f>
      </c>
      <c r="AR228" s="4">
        <f>(N227+X228)-AH228</f>
      </c>
      <c r="AS228" s="4">
        <f>(O227+Y228)-AI228</f>
      </c>
      <c r="AT228" s="4">
        <f>(P227+Z228)-AJ228</f>
      </c>
      <c r="AU228" s="4">
        <f>$B$16+SUM($K$5:$K$14)-SUM(AA228:AJ228)</f>
      </c>
      <c r="AV228" s="4">
        <f>AU228-BE228</f>
      </c>
      <c r="AW228" s="4">
        <f>AV228-BF228</f>
      </c>
      <c r="AX228" s="4">
        <f>AW228-BG228</f>
      </c>
      <c r="AY228" s="4">
        <f>AX228-BH228</f>
      </c>
      <c r="AZ228" s="4">
        <f>AY228-BI228</f>
      </c>
      <c r="BA228" s="4">
        <f>AZ228-BJ228</f>
      </c>
      <c r="BB228" s="4">
        <f>BA228-BK228</f>
      </c>
      <c r="BC228" s="4">
        <f>BB228-BL228</f>
      </c>
      <c r="BD228" s="4">
        <f>BC228-BM228</f>
      </c>
      <c r="BE228" s="4">
        <f>IF(G227&lt;=0,0,MIN(AU228,AK228))</f>
      </c>
      <c r="BF228" s="4">
        <f>IF(H227&lt;=0,0,MIN(AV228,AL228))</f>
      </c>
      <c r="BG228" s="4">
        <f>IF(I227&lt;=0,0,MIN(AW228,AM228))</f>
      </c>
      <c r="BH228" s="4">
        <f>IF(J227&lt;=0,0,MIN(AX228,AN228))</f>
      </c>
      <c r="BI228" s="4">
        <f>IF(K227&lt;=0,0,MIN(AY228,AO228))</f>
      </c>
      <c r="BJ228" s="4">
        <f>IF(L227&lt;=0,0,MIN(AZ228,AP228))</f>
      </c>
      <c r="BK228" s="4">
        <f>IF(M227&lt;=0,0,MIN(BA228,AQ228))</f>
      </c>
      <c r="BL228" s="4">
        <f>IF(N227&lt;=0,0,MIN(BB228,AR228))</f>
      </c>
      <c r="BM228" s="4">
        <f>IF(O227&lt;=0,0,MIN(BC228,AS228))</f>
      </c>
      <c r="BN228" s="4">
        <f>IF(P227&lt;=0,0,MIN(BD228,AT228))</f>
      </c>
    </row>
    <row r="229" spans="1:66" x14ac:dyDescent="0.25">
      <c r="A229">
        <v>202</v>
      </c>
      <c r="B229" s="7">
        <f>EDATE($B$17,202)</f>
      </c>
      <c r="C229" s="4">
        <f>SUM(G229:P229)</f>
      </c>
      <c r="D229" s="4">
        <f>SUM(Q229:Z229)</f>
      </c>
      <c r="E229" s="4">
        <f>SUM(AA229:AJ229)+SUM(BE229:BN229)</f>
      </c>
      <c r="G229" s="4">
        <f>MAX(0,AK229-BE229)</f>
      </c>
      <c r="H229" s="4">
        <f>MAX(0,AL229-BF229)</f>
      </c>
      <c r="I229" s="4">
        <f>MAX(0,AM229-BG229)</f>
      </c>
      <c r="J229" s="4">
        <f>MAX(0,AN229-BH229)</f>
      </c>
      <c r="K229" s="4">
        <f>MAX(0,AO229-BI229)</f>
      </c>
      <c r="L229" s="4">
        <f>MAX(0,AP229-BJ229)</f>
      </c>
      <c r="M229" s="4">
        <f>MAX(0,AQ229-BK229)</f>
      </c>
      <c r="N229" s="4">
        <f>MAX(0,AR229-BL229)</f>
      </c>
      <c r="O229" s="4">
        <f>MAX(0,AS229-BM229)</f>
      </c>
      <c r="P229" s="4">
        <f>MAX(0,AT229-BN229)</f>
      </c>
      <c r="Q229" s="4">
        <f>IF(G228&gt;0,G228*($J$5/100/12),0)</f>
      </c>
      <c r="R229" s="4">
        <f>IF(H228&gt;0,H228*($J$6/100/12),0)</f>
      </c>
      <c r="S229" s="4">
        <f>IF(I228&gt;0,I228*($J$7/100/12),0)</f>
      </c>
      <c r="T229" s="4">
        <f>IF(J228&gt;0,J228*($J$8/100/12),0)</f>
      </c>
      <c r="U229" s="4">
        <f>IF(K228&gt;0,K228*($J$9/100/12),0)</f>
      </c>
      <c r="V229" s="4">
        <f>IF(L228&gt;0,L228*($J$10/100/12),0)</f>
      </c>
      <c r="W229" s="4">
        <f>IF(M228&gt;0,M228*($J$11/100/12),0)</f>
      </c>
      <c r="X229" s="4">
        <f>IF(N228&gt;0,N228*($J$12/100/12),0)</f>
      </c>
      <c r="Y229" s="4">
        <f>IF(O228&gt;0,O228*($J$13/100/12),0)</f>
      </c>
      <c r="Z229" s="4">
        <f>IF(P228&gt;0,P228*($J$14/100/12),0)</f>
      </c>
      <c r="AA229" s="4">
        <f>IF(G228&lt;=0,0,MIN($K$5,(G228+Q229)))</f>
      </c>
      <c r="AB229" s="4">
        <f>IF(H228&lt;=0,0,MIN($K$6,(H228+R229)))</f>
      </c>
      <c r="AC229" s="4">
        <f>IF(I228&lt;=0,0,MIN($K$7,(I228+S229)))</f>
      </c>
      <c r="AD229" s="4">
        <f>IF(J228&lt;=0,0,MIN($K$8,(J228+T229)))</f>
      </c>
      <c r="AE229" s="4">
        <f>IF(K228&lt;=0,0,MIN($K$9,(K228+U229)))</f>
      </c>
      <c r="AF229" s="4">
        <f>IF(L228&lt;=0,0,MIN($K$10,(L228+V229)))</f>
      </c>
      <c r="AG229" s="4">
        <f>IF(M228&lt;=0,0,MIN($K$11,(M228+W229)))</f>
      </c>
      <c r="AH229" s="4">
        <f>IF(N228&lt;=0,0,MIN($K$12,(N228+X229)))</f>
      </c>
      <c r="AI229" s="4">
        <f>IF(O228&lt;=0,0,MIN($K$13,(O228+Y229)))</f>
      </c>
      <c r="AJ229" s="4">
        <f>IF(P228&lt;=0,0,MIN($K$14,(P228+Z229)))</f>
      </c>
      <c r="AK229" s="4">
        <f>(G228+Q229)-AA229</f>
      </c>
      <c r="AL229" s="4">
        <f>(H228+R229)-AB229</f>
      </c>
      <c r="AM229" s="4">
        <f>(I228+S229)-AC229</f>
      </c>
      <c r="AN229" s="4">
        <f>(J228+T229)-AD229</f>
      </c>
      <c r="AO229" s="4">
        <f>(K228+U229)-AE229</f>
      </c>
      <c r="AP229" s="4">
        <f>(L228+V229)-AF229</f>
      </c>
      <c r="AQ229" s="4">
        <f>(M228+W229)-AG229</f>
      </c>
      <c r="AR229" s="4">
        <f>(N228+X229)-AH229</f>
      </c>
      <c r="AS229" s="4">
        <f>(O228+Y229)-AI229</f>
      </c>
      <c r="AT229" s="4">
        <f>(P228+Z229)-AJ229</f>
      </c>
      <c r="AU229" s="4">
        <f>$B$16+SUM($K$5:$K$14)-SUM(AA229:AJ229)</f>
      </c>
      <c r="AV229" s="4">
        <f>AU229-BE229</f>
      </c>
      <c r="AW229" s="4">
        <f>AV229-BF229</f>
      </c>
      <c r="AX229" s="4">
        <f>AW229-BG229</f>
      </c>
      <c r="AY229" s="4">
        <f>AX229-BH229</f>
      </c>
      <c r="AZ229" s="4">
        <f>AY229-BI229</f>
      </c>
      <c r="BA229" s="4">
        <f>AZ229-BJ229</f>
      </c>
      <c r="BB229" s="4">
        <f>BA229-BK229</f>
      </c>
      <c r="BC229" s="4">
        <f>BB229-BL229</f>
      </c>
      <c r="BD229" s="4">
        <f>BC229-BM229</f>
      </c>
      <c r="BE229" s="4">
        <f>IF(G228&lt;=0,0,MIN(AU229,AK229))</f>
      </c>
      <c r="BF229" s="4">
        <f>IF(H228&lt;=0,0,MIN(AV229,AL229))</f>
      </c>
      <c r="BG229" s="4">
        <f>IF(I228&lt;=0,0,MIN(AW229,AM229))</f>
      </c>
      <c r="BH229" s="4">
        <f>IF(J228&lt;=0,0,MIN(AX229,AN229))</f>
      </c>
      <c r="BI229" s="4">
        <f>IF(K228&lt;=0,0,MIN(AY229,AO229))</f>
      </c>
      <c r="BJ229" s="4">
        <f>IF(L228&lt;=0,0,MIN(AZ229,AP229))</f>
      </c>
      <c r="BK229" s="4">
        <f>IF(M228&lt;=0,0,MIN(BA229,AQ229))</f>
      </c>
      <c r="BL229" s="4">
        <f>IF(N228&lt;=0,0,MIN(BB229,AR229))</f>
      </c>
      <c r="BM229" s="4">
        <f>IF(O228&lt;=0,0,MIN(BC229,AS229))</f>
      </c>
      <c r="BN229" s="4">
        <f>IF(P228&lt;=0,0,MIN(BD229,AT229))</f>
      </c>
    </row>
    <row r="230" spans="1:66" x14ac:dyDescent="0.25">
      <c r="A230">
        <v>203</v>
      </c>
      <c r="B230" s="7">
        <f>EDATE($B$17,203)</f>
      </c>
      <c r="C230" s="4">
        <f>SUM(G230:P230)</f>
      </c>
      <c r="D230" s="4">
        <f>SUM(Q230:Z230)</f>
      </c>
      <c r="E230" s="4">
        <f>SUM(AA230:AJ230)+SUM(BE230:BN230)</f>
      </c>
      <c r="G230" s="4">
        <f>MAX(0,AK230-BE230)</f>
      </c>
      <c r="H230" s="4">
        <f>MAX(0,AL230-BF230)</f>
      </c>
      <c r="I230" s="4">
        <f>MAX(0,AM230-BG230)</f>
      </c>
      <c r="J230" s="4">
        <f>MAX(0,AN230-BH230)</f>
      </c>
      <c r="K230" s="4">
        <f>MAX(0,AO230-BI230)</f>
      </c>
      <c r="L230" s="4">
        <f>MAX(0,AP230-BJ230)</f>
      </c>
      <c r="M230" s="4">
        <f>MAX(0,AQ230-BK230)</f>
      </c>
      <c r="N230" s="4">
        <f>MAX(0,AR230-BL230)</f>
      </c>
      <c r="O230" s="4">
        <f>MAX(0,AS230-BM230)</f>
      </c>
      <c r="P230" s="4">
        <f>MAX(0,AT230-BN230)</f>
      </c>
      <c r="Q230" s="4">
        <f>IF(G229&gt;0,G229*($J$5/100/12),0)</f>
      </c>
      <c r="R230" s="4">
        <f>IF(H229&gt;0,H229*($J$6/100/12),0)</f>
      </c>
      <c r="S230" s="4">
        <f>IF(I229&gt;0,I229*($J$7/100/12),0)</f>
      </c>
      <c r="T230" s="4">
        <f>IF(J229&gt;0,J229*($J$8/100/12),0)</f>
      </c>
      <c r="U230" s="4">
        <f>IF(K229&gt;0,K229*($J$9/100/12),0)</f>
      </c>
      <c r="V230" s="4">
        <f>IF(L229&gt;0,L229*($J$10/100/12),0)</f>
      </c>
      <c r="W230" s="4">
        <f>IF(M229&gt;0,M229*($J$11/100/12),0)</f>
      </c>
      <c r="X230" s="4">
        <f>IF(N229&gt;0,N229*($J$12/100/12),0)</f>
      </c>
      <c r="Y230" s="4">
        <f>IF(O229&gt;0,O229*($J$13/100/12),0)</f>
      </c>
      <c r="Z230" s="4">
        <f>IF(P229&gt;0,P229*($J$14/100/12),0)</f>
      </c>
      <c r="AA230" s="4">
        <f>IF(G229&lt;=0,0,MIN($K$5,(G229+Q230)))</f>
      </c>
      <c r="AB230" s="4">
        <f>IF(H229&lt;=0,0,MIN($K$6,(H229+R230)))</f>
      </c>
      <c r="AC230" s="4">
        <f>IF(I229&lt;=0,0,MIN($K$7,(I229+S230)))</f>
      </c>
      <c r="AD230" s="4">
        <f>IF(J229&lt;=0,0,MIN($K$8,(J229+T230)))</f>
      </c>
      <c r="AE230" s="4">
        <f>IF(K229&lt;=0,0,MIN($K$9,(K229+U230)))</f>
      </c>
      <c r="AF230" s="4">
        <f>IF(L229&lt;=0,0,MIN($K$10,(L229+V230)))</f>
      </c>
      <c r="AG230" s="4">
        <f>IF(M229&lt;=0,0,MIN($K$11,(M229+W230)))</f>
      </c>
      <c r="AH230" s="4">
        <f>IF(N229&lt;=0,0,MIN($K$12,(N229+X230)))</f>
      </c>
      <c r="AI230" s="4">
        <f>IF(O229&lt;=0,0,MIN($K$13,(O229+Y230)))</f>
      </c>
      <c r="AJ230" s="4">
        <f>IF(P229&lt;=0,0,MIN($K$14,(P229+Z230)))</f>
      </c>
      <c r="AK230" s="4">
        <f>(G229+Q230)-AA230</f>
      </c>
      <c r="AL230" s="4">
        <f>(H229+R230)-AB230</f>
      </c>
      <c r="AM230" s="4">
        <f>(I229+S230)-AC230</f>
      </c>
      <c r="AN230" s="4">
        <f>(J229+T230)-AD230</f>
      </c>
      <c r="AO230" s="4">
        <f>(K229+U230)-AE230</f>
      </c>
      <c r="AP230" s="4">
        <f>(L229+V230)-AF230</f>
      </c>
      <c r="AQ230" s="4">
        <f>(M229+W230)-AG230</f>
      </c>
      <c r="AR230" s="4">
        <f>(N229+X230)-AH230</f>
      </c>
      <c r="AS230" s="4">
        <f>(O229+Y230)-AI230</f>
      </c>
      <c r="AT230" s="4">
        <f>(P229+Z230)-AJ230</f>
      </c>
      <c r="AU230" s="4">
        <f>$B$16+SUM($K$5:$K$14)-SUM(AA230:AJ230)</f>
      </c>
      <c r="AV230" s="4">
        <f>AU230-BE230</f>
      </c>
      <c r="AW230" s="4">
        <f>AV230-BF230</f>
      </c>
      <c r="AX230" s="4">
        <f>AW230-BG230</f>
      </c>
      <c r="AY230" s="4">
        <f>AX230-BH230</f>
      </c>
      <c r="AZ230" s="4">
        <f>AY230-BI230</f>
      </c>
      <c r="BA230" s="4">
        <f>AZ230-BJ230</f>
      </c>
      <c r="BB230" s="4">
        <f>BA230-BK230</f>
      </c>
      <c r="BC230" s="4">
        <f>BB230-BL230</f>
      </c>
      <c r="BD230" s="4">
        <f>BC230-BM230</f>
      </c>
      <c r="BE230" s="4">
        <f>IF(G229&lt;=0,0,MIN(AU230,AK230))</f>
      </c>
      <c r="BF230" s="4">
        <f>IF(H229&lt;=0,0,MIN(AV230,AL230))</f>
      </c>
      <c r="BG230" s="4">
        <f>IF(I229&lt;=0,0,MIN(AW230,AM230))</f>
      </c>
      <c r="BH230" s="4">
        <f>IF(J229&lt;=0,0,MIN(AX230,AN230))</f>
      </c>
      <c r="BI230" s="4">
        <f>IF(K229&lt;=0,0,MIN(AY230,AO230))</f>
      </c>
      <c r="BJ230" s="4">
        <f>IF(L229&lt;=0,0,MIN(AZ230,AP230))</f>
      </c>
      <c r="BK230" s="4">
        <f>IF(M229&lt;=0,0,MIN(BA230,AQ230))</f>
      </c>
      <c r="BL230" s="4">
        <f>IF(N229&lt;=0,0,MIN(BB230,AR230))</f>
      </c>
      <c r="BM230" s="4">
        <f>IF(O229&lt;=0,0,MIN(BC230,AS230))</f>
      </c>
      <c r="BN230" s="4">
        <f>IF(P229&lt;=0,0,MIN(BD230,AT230))</f>
      </c>
    </row>
    <row r="231" spans="1:66" x14ac:dyDescent="0.25">
      <c r="A231">
        <v>204</v>
      </c>
      <c r="B231" s="7">
        <f>EDATE($B$17,204)</f>
      </c>
      <c r="C231" s="4">
        <f>SUM(G231:P231)</f>
      </c>
      <c r="D231" s="4">
        <f>SUM(Q231:Z231)</f>
      </c>
      <c r="E231" s="4">
        <f>SUM(AA231:AJ231)+SUM(BE231:BN231)</f>
      </c>
      <c r="G231" s="4">
        <f>MAX(0,AK231-BE231)</f>
      </c>
      <c r="H231" s="4">
        <f>MAX(0,AL231-BF231)</f>
      </c>
      <c r="I231" s="4">
        <f>MAX(0,AM231-BG231)</f>
      </c>
      <c r="J231" s="4">
        <f>MAX(0,AN231-BH231)</f>
      </c>
      <c r="K231" s="4">
        <f>MAX(0,AO231-BI231)</f>
      </c>
      <c r="L231" s="4">
        <f>MAX(0,AP231-BJ231)</f>
      </c>
      <c r="M231" s="4">
        <f>MAX(0,AQ231-BK231)</f>
      </c>
      <c r="N231" s="4">
        <f>MAX(0,AR231-BL231)</f>
      </c>
      <c r="O231" s="4">
        <f>MAX(0,AS231-BM231)</f>
      </c>
      <c r="P231" s="4">
        <f>MAX(0,AT231-BN231)</f>
      </c>
      <c r="Q231" s="4">
        <f>IF(G230&gt;0,G230*($J$5/100/12),0)</f>
      </c>
      <c r="R231" s="4">
        <f>IF(H230&gt;0,H230*($J$6/100/12),0)</f>
      </c>
      <c r="S231" s="4">
        <f>IF(I230&gt;0,I230*($J$7/100/12),0)</f>
      </c>
      <c r="T231" s="4">
        <f>IF(J230&gt;0,J230*($J$8/100/12),0)</f>
      </c>
      <c r="U231" s="4">
        <f>IF(K230&gt;0,K230*($J$9/100/12),0)</f>
      </c>
      <c r="V231" s="4">
        <f>IF(L230&gt;0,L230*($J$10/100/12),0)</f>
      </c>
      <c r="W231" s="4">
        <f>IF(M230&gt;0,M230*($J$11/100/12),0)</f>
      </c>
      <c r="X231" s="4">
        <f>IF(N230&gt;0,N230*($J$12/100/12),0)</f>
      </c>
      <c r="Y231" s="4">
        <f>IF(O230&gt;0,O230*($J$13/100/12),0)</f>
      </c>
      <c r="Z231" s="4">
        <f>IF(P230&gt;0,P230*($J$14/100/12),0)</f>
      </c>
      <c r="AA231" s="4">
        <f>IF(G230&lt;=0,0,MIN($K$5,(G230+Q231)))</f>
      </c>
      <c r="AB231" s="4">
        <f>IF(H230&lt;=0,0,MIN($K$6,(H230+R231)))</f>
      </c>
      <c r="AC231" s="4">
        <f>IF(I230&lt;=0,0,MIN($K$7,(I230+S231)))</f>
      </c>
      <c r="AD231" s="4">
        <f>IF(J230&lt;=0,0,MIN($K$8,(J230+T231)))</f>
      </c>
      <c r="AE231" s="4">
        <f>IF(K230&lt;=0,0,MIN($K$9,(K230+U231)))</f>
      </c>
      <c r="AF231" s="4">
        <f>IF(L230&lt;=0,0,MIN($K$10,(L230+V231)))</f>
      </c>
      <c r="AG231" s="4">
        <f>IF(M230&lt;=0,0,MIN($K$11,(M230+W231)))</f>
      </c>
      <c r="AH231" s="4">
        <f>IF(N230&lt;=0,0,MIN($K$12,(N230+X231)))</f>
      </c>
      <c r="AI231" s="4">
        <f>IF(O230&lt;=0,0,MIN($K$13,(O230+Y231)))</f>
      </c>
      <c r="AJ231" s="4">
        <f>IF(P230&lt;=0,0,MIN($K$14,(P230+Z231)))</f>
      </c>
      <c r="AK231" s="4">
        <f>(G230+Q231)-AA231</f>
      </c>
      <c r="AL231" s="4">
        <f>(H230+R231)-AB231</f>
      </c>
      <c r="AM231" s="4">
        <f>(I230+S231)-AC231</f>
      </c>
      <c r="AN231" s="4">
        <f>(J230+T231)-AD231</f>
      </c>
      <c r="AO231" s="4">
        <f>(K230+U231)-AE231</f>
      </c>
      <c r="AP231" s="4">
        <f>(L230+V231)-AF231</f>
      </c>
      <c r="AQ231" s="4">
        <f>(M230+W231)-AG231</f>
      </c>
      <c r="AR231" s="4">
        <f>(N230+X231)-AH231</f>
      </c>
      <c r="AS231" s="4">
        <f>(O230+Y231)-AI231</f>
      </c>
      <c r="AT231" s="4">
        <f>(P230+Z231)-AJ231</f>
      </c>
      <c r="AU231" s="4">
        <f>$B$16+SUM($K$5:$K$14)-SUM(AA231:AJ231)</f>
      </c>
      <c r="AV231" s="4">
        <f>AU231-BE231</f>
      </c>
      <c r="AW231" s="4">
        <f>AV231-BF231</f>
      </c>
      <c r="AX231" s="4">
        <f>AW231-BG231</f>
      </c>
      <c r="AY231" s="4">
        <f>AX231-BH231</f>
      </c>
      <c r="AZ231" s="4">
        <f>AY231-BI231</f>
      </c>
      <c r="BA231" s="4">
        <f>AZ231-BJ231</f>
      </c>
      <c r="BB231" s="4">
        <f>BA231-BK231</f>
      </c>
      <c r="BC231" s="4">
        <f>BB231-BL231</f>
      </c>
      <c r="BD231" s="4">
        <f>BC231-BM231</f>
      </c>
      <c r="BE231" s="4">
        <f>IF(G230&lt;=0,0,MIN(AU231,AK231))</f>
      </c>
      <c r="BF231" s="4">
        <f>IF(H230&lt;=0,0,MIN(AV231,AL231))</f>
      </c>
      <c r="BG231" s="4">
        <f>IF(I230&lt;=0,0,MIN(AW231,AM231))</f>
      </c>
      <c r="BH231" s="4">
        <f>IF(J230&lt;=0,0,MIN(AX231,AN231))</f>
      </c>
      <c r="BI231" s="4">
        <f>IF(K230&lt;=0,0,MIN(AY231,AO231))</f>
      </c>
      <c r="BJ231" s="4">
        <f>IF(L230&lt;=0,0,MIN(AZ231,AP231))</f>
      </c>
      <c r="BK231" s="4">
        <f>IF(M230&lt;=0,0,MIN(BA231,AQ231))</f>
      </c>
      <c r="BL231" s="4">
        <f>IF(N230&lt;=0,0,MIN(BB231,AR231))</f>
      </c>
      <c r="BM231" s="4">
        <f>IF(O230&lt;=0,0,MIN(BC231,AS231))</f>
      </c>
      <c r="BN231" s="4">
        <f>IF(P230&lt;=0,0,MIN(BD231,AT231))</f>
      </c>
    </row>
    <row r="232" spans="1:66" x14ac:dyDescent="0.25">
      <c r="A232">
        <v>205</v>
      </c>
      <c r="B232" s="7">
        <f>EDATE($B$17,205)</f>
      </c>
      <c r="C232" s="4">
        <f>SUM(G232:P232)</f>
      </c>
      <c r="D232" s="4">
        <f>SUM(Q232:Z232)</f>
      </c>
      <c r="E232" s="4">
        <f>SUM(AA232:AJ232)+SUM(BE232:BN232)</f>
      </c>
      <c r="G232" s="4">
        <f>MAX(0,AK232-BE232)</f>
      </c>
      <c r="H232" s="4">
        <f>MAX(0,AL232-BF232)</f>
      </c>
      <c r="I232" s="4">
        <f>MAX(0,AM232-BG232)</f>
      </c>
      <c r="J232" s="4">
        <f>MAX(0,AN232-BH232)</f>
      </c>
      <c r="K232" s="4">
        <f>MAX(0,AO232-BI232)</f>
      </c>
      <c r="L232" s="4">
        <f>MAX(0,AP232-BJ232)</f>
      </c>
      <c r="M232" s="4">
        <f>MAX(0,AQ232-BK232)</f>
      </c>
      <c r="N232" s="4">
        <f>MAX(0,AR232-BL232)</f>
      </c>
      <c r="O232" s="4">
        <f>MAX(0,AS232-BM232)</f>
      </c>
      <c r="P232" s="4">
        <f>MAX(0,AT232-BN232)</f>
      </c>
      <c r="Q232" s="4">
        <f>IF(G231&gt;0,G231*($J$5/100/12),0)</f>
      </c>
      <c r="R232" s="4">
        <f>IF(H231&gt;0,H231*($J$6/100/12),0)</f>
      </c>
      <c r="S232" s="4">
        <f>IF(I231&gt;0,I231*($J$7/100/12),0)</f>
      </c>
      <c r="T232" s="4">
        <f>IF(J231&gt;0,J231*($J$8/100/12),0)</f>
      </c>
      <c r="U232" s="4">
        <f>IF(K231&gt;0,K231*($J$9/100/12),0)</f>
      </c>
      <c r="V232" s="4">
        <f>IF(L231&gt;0,L231*($J$10/100/12),0)</f>
      </c>
      <c r="W232" s="4">
        <f>IF(M231&gt;0,M231*($J$11/100/12),0)</f>
      </c>
      <c r="X232" s="4">
        <f>IF(N231&gt;0,N231*($J$12/100/12),0)</f>
      </c>
      <c r="Y232" s="4">
        <f>IF(O231&gt;0,O231*($J$13/100/12),0)</f>
      </c>
      <c r="Z232" s="4">
        <f>IF(P231&gt;0,P231*($J$14/100/12),0)</f>
      </c>
      <c r="AA232" s="4">
        <f>IF(G231&lt;=0,0,MIN($K$5,(G231+Q232)))</f>
      </c>
      <c r="AB232" s="4">
        <f>IF(H231&lt;=0,0,MIN($K$6,(H231+R232)))</f>
      </c>
      <c r="AC232" s="4">
        <f>IF(I231&lt;=0,0,MIN($K$7,(I231+S232)))</f>
      </c>
      <c r="AD232" s="4">
        <f>IF(J231&lt;=0,0,MIN($K$8,(J231+T232)))</f>
      </c>
      <c r="AE232" s="4">
        <f>IF(K231&lt;=0,0,MIN($K$9,(K231+U232)))</f>
      </c>
      <c r="AF232" s="4">
        <f>IF(L231&lt;=0,0,MIN($K$10,(L231+V232)))</f>
      </c>
      <c r="AG232" s="4">
        <f>IF(M231&lt;=0,0,MIN($K$11,(M231+W232)))</f>
      </c>
      <c r="AH232" s="4">
        <f>IF(N231&lt;=0,0,MIN($K$12,(N231+X232)))</f>
      </c>
      <c r="AI232" s="4">
        <f>IF(O231&lt;=0,0,MIN($K$13,(O231+Y232)))</f>
      </c>
      <c r="AJ232" s="4">
        <f>IF(P231&lt;=0,0,MIN($K$14,(P231+Z232)))</f>
      </c>
      <c r="AK232" s="4">
        <f>(G231+Q232)-AA232</f>
      </c>
      <c r="AL232" s="4">
        <f>(H231+R232)-AB232</f>
      </c>
      <c r="AM232" s="4">
        <f>(I231+S232)-AC232</f>
      </c>
      <c r="AN232" s="4">
        <f>(J231+T232)-AD232</f>
      </c>
      <c r="AO232" s="4">
        <f>(K231+U232)-AE232</f>
      </c>
      <c r="AP232" s="4">
        <f>(L231+V232)-AF232</f>
      </c>
      <c r="AQ232" s="4">
        <f>(M231+W232)-AG232</f>
      </c>
      <c r="AR232" s="4">
        <f>(N231+X232)-AH232</f>
      </c>
      <c r="AS232" s="4">
        <f>(O231+Y232)-AI232</f>
      </c>
      <c r="AT232" s="4">
        <f>(P231+Z232)-AJ232</f>
      </c>
      <c r="AU232" s="4">
        <f>$B$16+SUM($K$5:$K$14)-SUM(AA232:AJ232)</f>
      </c>
      <c r="AV232" s="4">
        <f>AU232-BE232</f>
      </c>
      <c r="AW232" s="4">
        <f>AV232-BF232</f>
      </c>
      <c r="AX232" s="4">
        <f>AW232-BG232</f>
      </c>
      <c r="AY232" s="4">
        <f>AX232-BH232</f>
      </c>
      <c r="AZ232" s="4">
        <f>AY232-BI232</f>
      </c>
      <c r="BA232" s="4">
        <f>AZ232-BJ232</f>
      </c>
      <c r="BB232" s="4">
        <f>BA232-BK232</f>
      </c>
      <c r="BC232" s="4">
        <f>BB232-BL232</f>
      </c>
      <c r="BD232" s="4">
        <f>BC232-BM232</f>
      </c>
      <c r="BE232" s="4">
        <f>IF(G231&lt;=0,0,MIN(AU232,AK232))</f>
      </c>
      <c r="BF232" s="4">
        <f>IF(H231&lt;=0,0,MIN(AV232,AL232))</f>
      </c>
      <c r="BG232" s="4">
        <f>IF(I231&lt;=0,0,MIN(AW232,AM232))</f>
      </c>
      <c r="BH232" s="4">
        <f>IF(J231&lt;=0,0,MIN(AX232,AN232))</f>
      </c>
      <c r="BI232" s="4">
        <f>IF(K231&lt;=0,0,MIN(AY232,AO232))</f>
      </c>
      <c r="BJ232" s="4">
        <f>IF(L231&lt;=0,0,MIN(AZ232,AP232))</f>
      </c>
      <c r="BK232" s="4">
        <f>IF(M231&lt;=0,0,MIN(BA232,AQ232))</f>
      </c>
      <c r="BL232" s="4">
        <f>IF(N231&lt;=0,0,MIN(BB232,AR232))</f>
      </c>
      <c r="BM232" s="4">
        <f>IF(O231&lt;=0,0,MIN(BC232,AS232))</f>
      </c>
      <c r="BN232" s="4">
        <f>IF(P231&lt;=0,0,MIN(BD232,AT232))</f>
      </c>
    </row>
    <row r="233" spans="1:66" x14ac:dyDescent="0.25">
      <c r="A233">
        <v>206</v>
      </c>
      <c r="B233" s="7">
        <f>EDATE($B$17,206)</f>
      </c>
      <c r="C233" s="4">
        <f>SUM(G233:P233)</f>
      </c>
      <c r="D233" s="4">
        <f>SUM(Q233:Z233)</f>
      </c>
      <c r="E233" s="4">
        <f>SUM(AA233:AJ233)+SUM(BE233:BN233)</f>
      </c>
      <c r="G233" s="4">
        <f>MAX(0,AK233-BE233)</f>
      </c>
      <c r="H233" s="4">
        <f>MAX(0,AL233-BF233)</f>
      </c>
      <c r="I233" s="4">
        <f>MAX(0,AM233-BG233)</f>
      </c>
      <c r="J233" s="4">
        <f>MAX(0,AN233-BH233)</f>
      </c>
      <c r="K233" s="4">
        <f>MAX(0,AO233-BI233)</f>
      </c>
      <c r="L233" s="4">
        <f>MAX(0,AP233-BJ233)</f>
      </c>
      <c r="M233" s="4">
        <f>MAX(0,AQ233-BK233)</f>
      </c>
      <c r="N233" s="4">
        <f>MAX(0,AR233-BL233)</f>
      </c>
      <c r="O233" s="4">
        <f>MAX(0,AS233-BM233)</f>
      </c>
      <c r="P233" s="4">
        <f>MAX(0,AT233-BN233)</f>
      </c>
      <c r="Q233" s="4">
        <f>IF(G232&gt;0,G232*($J$5/100/12),0)</f>
      </c>
      <c r="R233" s="4">
        <f>IF(H232&gt;0,H232*($J$6/100/12),0)</f>
      </c>
      <c r="S233" s="4">
        <f>IF(I232&gt;0,I232*($J$7/100/12),0)</f>
      </c>
      <c r="T233" s="4">
        <f>IF(J232&gt;0,J232*($J$8/100/12),0)</f>
      </c>
      <c r="U233" s="4">
        <f>IF(K232&gt;0,K232*($J$9/100/12),0)</f>
      </c>
      <c r="V233" s="4">
        <f>IF(L232&gt;0,L232*($J$10/100/12),0)</f>
      </c>
      <c r="W233" s="4">
        <f>IF(M232&gt;0,M232*($J$11/100/12),0)</f>
      </c>
      <c r="X233" s="4">
        <f>IF(N232&gt;0,N232*($J$12/100/12),0)</f>
      </c>
      <c r="Y233" s="4">
        <f>IF(O232&gt;0,O232*($J$13/100/12),0)</f>
      </c>
      <c r="Z233" s="4">
        <f>IF(P232&gt;0,P232*($J$14/100/12),0)</f>
      </c>
      <c r="AA233" s="4">
        <f>IF(G232&lt;=0,0,MIN($K$5,(G232+Q233)))</f>
      </c>
      <c r="AB233" s="4">
        <f>IF(H232&lt;=0,0,MIN($K$6,(H232+R233)))</f>
      </c>
      <c r="AC233" s="4">
        <f>IF(I232&lt;=0,0,MIN($K$7,(I232+S233)))</f>
      </c>
      <c r="AD233" s="4">
        <f>IF(J232&lt;=0,0,MIN($K$8,(J232+T233)))</f>
      </c>
      <c r="AE233" s="4">
        <f>IF(K232&lt;=0,0,MIN($K$9,(K232+U233)))</f>
      </c>
      <c r="AF233" s="4">
        <f>IF(L232&lt;=0,0,MIN($K$10,(L232+V233)))</f>
      </c>
      <c r="AG233" s="4">
        <f>IF(M232&lt;=0,0,MIN($K$11,(M232+W233)))</f>
      </c>
      <c r="AH233" s="4">
        <f>IF(N232&lt;=0,0,MIN($K$12,(N232+X233)))</f>
      </c>
      <c r="AI233" s="4">
        <f>IF(O232&lt;=0,0,MIN($K$13,(O232+Y233)))</f>
      </c>
      <c r="AJ233" s="4">
        <f>IF(P232&lt;=0,0,MIN($K$14,(P232+Z233)))</f>
      </c>
      <c r="AK233" s="4">
        <f>(G232+Q233)-AA233</f>
      </c>
      <c r="AL233" s="4">
        <f>(H232+R233)-AB233</f>
      </c>
      <c r="AM233" s="4">
        <f>(I232+S233)-AC233</f>
      </c>
      <c r="AN233" s="4">
        <f>(J232+T233)-AD233</f>
      </c>
      <c r="AO233" s="4">
        <f>(K232+U233)-AE233</f>
      </c>
      <c r="AP233" s="4">
        <f>(L232+V233)-AF233</f>
      </c>
      <c r="AQ233" s="4">
        <f>(M232+W233)-AG233</f>
      </c>
      <c r="AR233" s="4">
        <f>(N232+X233)-AH233</f>
      </c>
      <c r="AS233" s="4">
        <f>(O232+Y233)-AI233</f>
      </c>
      <c r="AT233" s="4">
        <f>(P232+Z233)-AJ233</f>
      </c>
      <c r="AU233" s="4">
        <f>$B$16+SUM($K$5:$K$14)-SUM(AA233:AJ233)</f>
      </c>
      <c r="AV233" s="4">
        <f>AU233-BE233</f>
      </c>
      <c r="AW233" s="4">
        <f>AV233-BF233</f>
      </c>
      <c r="AX233" s="4">
        <f>AW233-BG233</f>
      </c>
      <c r="AY233" s="4">
        <f>AX233-BH233</f>
      </c>
      <c r="AZ233" s="4">
        <f>AY233-BI233</f>
      </c>
      <c r="BA233" s="4">
        <f>AZ233-BJ233</f>
      </c>
      <c r="BB233" s="4">
        <f>BA233-BK233</f>
      </c>
      <c r="BC233" s="4">
        <f>BB233-BL233</f>
      </c>
      <c r="BD233" s="4">
        <f>BC233-BM233</f>
      </c>
      <c r="BE233" s="4">
        <f>IF(G232&lt;=0,0,MIN(AU233,AK233))</f>
      </c>
      <c r="BF233" s="4">
        <f>IF(H232&lt;=0,0,MIN(AV233,AL233))</f>
      </c>
      <c r="BG233" s="4">
        <f>IF(I232&lt;=0,0,MIN(AW233,AM233))</f>
      </c>
      <c r="BH233" s="4">
        <f>IF(J232&lt;=0,0,MIN(AX233,AN233))</f>
      </c>
      <c r="BI233" s="4">
        <f>IF(K232&lt;=0,0,MIN(AY233,AO233))</f>
      </c>
      <c r="BJ233" s="4">
        <f>IF(L232&lt;=0,0,MIN(AZ233,AP233))</f>
      </c>
      <c r="BK233" s="4">
        <f>IF(M232&lt;=0,0,MIN(BA233,AQ233))</f>
      </c>
      <c r="BL233" s="4">
        <f>IF(N232&lt;=0,0,MIN(BB233,AR233))</f>
      </c>
      <c r="BM233" s="4">
        <f>IF(O232&lt;=0,0,MIN(BC233,AS233))</f>
      </c>
      <c r="BN233" s="4">
        <f>IF(P232&lt;=0,0,MIN(BD233,AT233))</f>
      </c>
    </row>
    <row r="234" spans="1:66" x14ac:dyDescent="0.25">
      <c r="A234">
        <v>207</v>
      </c>
      <c r="B234" s="7">
        <f>EDATE($B$17,207)</f>
      </c>
      <c r="C234" s="4">
        <f>SUM(G234:P234)</f>
      </c>
      <c r="D234" s="4">
        <f>SUM(Q234:Z234)</f>
      </c>
      <c r="E234" s="4">
        <f>SUM(AA234:AJ234)+SUM(BE234:BN234)</f>
      </c>
      <c r="G234" s="4">
        <f>MAX(0,AK234-BE234)</f>
      </c>
      <c r="H234" s="4">
        <f>MAX(0,AL234-BF234)</f>
      </c>
      <c r="I234" s="4">
        <f>MAX(0,AM234-BG234)</f>
      </c>
      <c r="J234" s="4">
        <f>MAX(0,AN234-BH234)</f>
      </c>
      <c r="K234" s="4">
        <f>MAX(0,AO234-BI234)</f>
      </c>
      <c r="L234" s="4">
        <f>MAX(0,AP234-BJ234)</f>
      </c>
      <c r="M234" s="4">
        <f>MAX(0,AQ234-BK234)</f>
      </c>
      <c r="N234" s="4">
        <f>MAX(0,AR234-BL234)</f>
      </c>
      <c r="O234" s="4">
        <f>MAX(0,AS234-BM234)</f>
      </c>
      <c r="P234" s="4">
        <f>MAX(0,AT234-BN234)</f>
      </c>
      <c r="Q234" s="4">
        <f>IF(G233&gt;0,G233*($J$5/100/12),0)</f>
      </c>
      <c r="R234" s="4">
        <f>IF(H233&gt;0,H233*($J$6/100/12),0)</f>
      </c>
      <c r="S234" s="4">
        <f>IF(I233&gt;0,I233*($J$7/100/12),0)</f>
      </c>
      <c r="T234" s="4">
        <f>IF(J233&gt;0,J233*($J$8/100/12),0)</f>
      </c>
      <c r="U234" s="4">
        <f>IF(K233&gt;0,K233*($J$9/100/12),0)</f>
      </c>
      <c r="V234" s="4">
        <f>IF(L233&gt;0,L233*($J$10/100/12),0)</f>
      </c>
      <c r="W234" s="4">
        <f>IF(M233&gt;0,M233*($J$11/100/12),0)</f>
      </c>
      <c r="X234" s="4">
        <f>IF(N233&gt;0,N233*($J$12/100/12),0)</f>
      </c>
      <c r="Y234" s="4">
        <f>IF(O233&gt;0,O233*($J$13/100/12),0)</f>
      </c>
      <c r="Z234" s="4">
        <f>IF(P233&gt;0,P233*($J$14/100/12),0)</f>
      </c>
      <c r="AA234" s="4">
        <f>IF(G233&lt;=0,0,MIN($K$5,(G233+Q234)))</f>
      </c>
      <c r="AB234" s="4">
        <f>IF(H233&lt;=0,0,MIN($K$6,(H233+R234)))</f>
      </c>
      <c r="AC234" s="4">
        <f>IF(I233&lt;=0,0,MIN($K$7,(I233+S234)))</f>
      </c>
      <c r="AD234" s="4">
        <f>IF(J233&lt;=0,0,MIN($K$8,(J233+T234)))</f>
      </c>
      <c r="AE234" s="4">
        <f>IF(K233&lt;=0,0,MIN($K$9,(K233+U234)))</f>
      </c>
      <c r="AF234" s="4">
        <f>IF(L233&lt;=0,0,MIN($K$10,(L233+V234)))</f>
      </c>
      <c r="AG234" s="4">
        <f>IF(M233&lt;=0,0,MIN($K$11,(M233+W234)))</f>
      </c>
      <c r="AH234" s="4">
        <f>IF(N233&lt;=0,0,MIN($K$12,(N233+X234)))</f>
      </c>
      <c r="AI234" s="4">
        <f>IF(O233&lt;=0,0,MIN($K$13,(O233+Y234)))</f>
      </c>
      <c r="AJ234" s="4">
        <f>IF(P233&lt;=0,0,MIN($K$14,(P233+Z234)))</f>
      </c>
      <c r="AK234" s="4">
        <f>(G233+Q234)-AA234</f>
      </c>
      <c r="AL234" s="4">
        <f>(H233+R234)-AB234</f>
      </c>
      <c r="AM234" s="4">
        <f>(I233+S234)-AC234</f>
      </c>
      <c r="AN234" s="4">
        <f>(J233+T234)-AD234</f>
      </c>
      <c r="AO234" s="4">
        <f>(K233+U234)-AE234</f>
      </c>
      <c r="AP234" s="4">
        <f>(L233+V234)-AF234</f>
      </c>
      <c r="AQ234" s="4">
        <f>(M233+W234)-AG234</f>
      </c>
      <c r="AR234" s="4">
        <f>(N233+X234)-AH234</f>
      </c>
      <c r="AS234" s="4">
        <f>(O233+Y234)-AI234</f>
      </c>
      <c r="AT234" s="4">
        <f>(P233+Z234)-AJ234</f>
      </c>
      <c r="AU234" s="4">
        <f>$B$16+SUM($K$5:$K$14)-SUM(AA234:AJ234)</f>
      </c>
      <c r="AV234" s="4">
        <f>AU234-BE234</f>
      </c>
      <c r="AW234" s="4">
        <f>AV234-BF234</f>
      </c>
      <c r="AX234" s="4">
        <f>AW234-BG234</f>
      </c>
      <c r="AY234" s="4">
        <f>AX234-BH234</f>
      </c>
      <c r="AZ234" s="4">
        <f>AY234-BI234</f>
      </c>
      <c r="BA234" s="4">
        <f>AZ234-BJ234</f>
      </c>
      <c r="BB234" s="4">
        <f>BA234-BK234</f>
      </c>
      <c r="BC234" s="4">
        <f>BB234-BL234</f>
      </c>
      <c r="BD234" s="4">
        <f>BC234-BM234</f>
      </c>
      <c r="BE234" s="4">
        <f>IF(G233&lt;=0,0,MIN(AU234,AK234))</f>
      </c>
      <c r="BF234" s="4">
        <f>IF(H233&lt;=0,0,MIN(AV234,AL234))</f>
      </c>
      <c r="BG234" s="4">
        <f>IF(I233&lt;=0,0,MIN(AW234,AM234))</f>
      </c>
      <c r="BH234" s="4">
        <f>IF(J233&lt;=0,0,MIN(AX234,AN234))</f>
      </c>
      <c r="BI234" s="4">
        <f>IF(K233&lt;=0,0,MIN(AY234,AO234))</f>
      </c>
      <c r="BJ234" s="4">
        <f>IF(L233&lt;=0,0,MIN(AZ234,AP234))</f>
      </c>
      <c r="BK234" s="4">
        <f>IF(M233&lt;=0,0,MIN(BA234,AQ234))</f>
      </c>
      <c r="BL234" s="4">
        <f>IF(N233&lt;=0,0,MIN(BB234,AR234))</f>
      </c>
      <c r="BM234" s="4">
        <f>IF(O233&lt;=0,0,MIN(BC234,AS234))</f>
      </c>
      <c r="BN234" s="4">
        <f>IF(P233&lt;=0,0,MIN(BD234,AT234))</f>
      </c>
    </row>
    <row r="235" spans="1:66" x14ac:dyDescent="0.25">
      <c r="A235">
        <v>208</v>
      </c>
      <c r="B235" s="7">
        <f>EDATE($B$17,208)</f>
      </c>
      <c r="C235" s="4">
        <f>SUM(G235:P235)</f>
      </c>
      <c r="D235" s="4">
        <f>SUM(Q235:Z235)</f>
      </c>
      <c r="E235" s="4">
        <f>SUM(AA235:AJ235)+SUM(BE235:BN235)</f>
      </c>
      <c r="G235" s="4">
        <f>MAX(0,AK235-BE235)</f>
      </c>
      <c r="H235" s="4">
        <f>MAX(0,AL235-BF235)</f>
      </c>
      <c r="I235" s="4">
        <f>MAX(0,AM235-BG235)</f>
      </c>
      <c r="J235" s="4">
        <f>MAX(0,AN235-BH235)</f>
      </c>
      <c r="K235" s="4">
        <f>MAX(0,AO235-BI235)</f>
      </c>
      <c r="L235" s="4">
        <f>MAX(0,AP235-BJ235)</f>
      </c>
      <c r="M235" s="4">
        <f>MAX(0,AQ235-BK235)</f>
      </c>
      <c r="N235" s="4">
        <f>MAX(0,AR235-BL235)</f>
      </c>
      <c r="O235" s="4">
        <f>MAX(0,AS235-BM235)</f>
      </c>
      <c r="P235" s="4">
        <f>MAX(0,AT235-BN235)</f>
      </c>
      <c r="Q235" s="4">
        <f>IF(G234&gt;0,G234*($J$5/100/12),0)</f>
      </c>
      <c r="R235" s="4">
        <f>IF(H234&gt;0,H234*($J$6/100/12),0)</f>
      </c>
      <c r="S235" s="4">
        <f>IF(I234&gt;0,I234*($J$7/100/12),0)</f>
      </c>
      <c r="T235" s="4">
        <f>IF(J234&gt;0,J234*($J$8/100/12),0)</f>
      </c>
      <c r="U235" s="4">
        <f>IF(K234&gt;0,K234*($J$9/100/12),0)</f>
      </c>
      <c r="V235" s="4">
        <f>IF(L234&gt;0,L234*($J$10/100/12),0)</f>
      </c>
      <c r="W235" s="4">
        <f>IF(M234&gt;0,M234*($J$11/100/12),0)</f>
      </c>
      <c r="X235" s="4">
        <f>IF(N234&gt;0,N234*($J$12/100/12),0)</f>
      </c>
      <c r="Y235" s="4">
        <f>IF(O234&gt;0,O234*($J$13/100/12),0)</f>
      </c>
      <c r="Z235" s="4">
        <f>IF(P234&gt;0,P234*($J$14/100/12),0)</f>
      </c>
      <c r="AA235" s="4">
        <f>IF(G234&lt;=0,0,MIN($K$5,(G234+Q235)))</f>
      </c>
      <c r="AB235" s="4">
        <f>IF(H234&lt;=0,0,MIN($K$6,(H234+R235)))</f>
      </c>
      <c r="AC235" s="4">
        <f>IF(I234&lt;=0,0,MIN($K$7,(I234+S235)))</f>
      </c>
      <c r="AD235" s="4">
        <f>IF(J234&lt;=0,0,MIN($K$8,(J234+T235)))</f>
      </c>
      <c r="AE235" s="4">
        <f>IF(K234&lt;=0,0,MIN($K$9,(K234+U235)))</f>
      </c>
      <c r="AF235" s="4">
        <f>IF(L234&lt;=0,0,MIN($K$10,(L234+V235)))</f>
      </c>
      <c r="AG235" s="4">
        <f>IF(M234&lt;=0,0,MIN($K$11,(M234+W235)))</f>
      </c>
      <c r="AH235" s="4">
        <f>IF(N234&lt;=0,0,MIN($K$12,(N234+X235)))</f>
      </c>
      <c r="AI235" s="4">
        <f>IF(O234&lt;=0,0,MIN($K$13,(O234+Y235)))</f>
      </c>
      <c r="AJ235" s="4">
        <f>IF(P234&lt;=0,0,MIN($K$14,(P234+Z235)))</f>
      </c>
      <c r="AK235" s="4">
        <f>(G234+Q235)-AA235</f>
      </c>
      <c r="AL235" s="4">
        <f>(H234+R235)-AB235</f>
      </c>
      <c r="AM235" s="4">
        <f>(I234+S235)-AC235</f>
      </c>
      <c r="AN235" s="4">
        <f>(J234+T235)-AD235</f>
      </c>
      <c r="AO235" s="4">
        <f>(K234+U235)-AE235</f>
      </c>
      <c r="AP235" s="4">
        <f>(L234+V235)-AF235</f>
      </c>
      <c r="AQ235" s="4">
        <f>(M234+W235)-AG235</f>
      </c>
      <c r="AR235" s="4">
        <f>(N234+X235)-AH235</f>
      </c>
      <c r="AS235" s="4">
        <f>(O234+Y235)-AI235</f>
      </c>
      <c r="AT235" s="4">
        <f>(P234+Z235)-AJ235</f>
      </c>
      <c r="AU235" s="4">
        <f>$B$16+SUM($K$5:$K$14)-SUM(AA235:AJ235)</f>
      </c>
      <c r="AV235" s="4">
        <f>AU235-BE235</f>
      </c>
      <c r="AW235" s="4">
        <f>AV235-BF235</f>
      </c>
      <c r="AX235" s="4">
        <f>AW235-BG235</f>
      </c>
      <c r="AY235" s="4">
        <f>AX235-BH235</f>
      </c>
      <c r="AZ235" s="4">
        <f>AY235-BI235</f>
      </c>
      <c r="BA235" s="4">
        <f>AZ235-BJ235</f>
      </c>
      <c r="BB235" s="4">
        <f>BA235-BK235</f>
      </c>
      <c r="BC235" s="4">
        <f>BB235-BL235</f>
      </c>
      <c r="BD235" s="4">
        <f>BC235-BM235</f>
      </c>
      <c r="BE235" s="4">
        <f>IF(G234&lt;=0,0,MIN(AU235,AK235))</f>
      </c>
      <c r="BF235" s="4">
        <f>IF(H234&lt;=0,0,MIN(AV235,AL235))</f>
      </c>
      <c r="BG235" s="4">
        <f>IF(I234&lt;=0,0,MIN(AW235,AM235))</f>
      </c>
      <c r="BH235" s="4">
        <f>IF(J234&lt;=0,0,MIN(AX235,AN235))</f>
      </c>
      <c r="BI235" s="4">
        <f>IF(K234&lt;=0,0,MIN(AY235,AO235))</f>
      </c>
      <c r="BJ235" s="4">
        <f>IF(L234&lt;=0,0,MIN(AZ235,AP235))</f>
      </c>
      <c r="BK235" s="4">
        <f>IF(M234&lt;=0,0,MIN(BA235,AQ235))</f>
      </c>
      <c r="BL235" s="4">
        <f>IF(N234&lt;=0,0,MIN(BB235,AR235))</f>
      </c>
      <c r="BM235" s="4">
        <f>IF(O234&lt;=0,0,MIN(BC235,AS235))</f>
      </c>
      <c r="BN235" s="4">
        <f>IF(P234&lt;=0,0,MIN(BD235,AT235))</f>
      </c>
    </row>
    <row r="236" spans="1:66" x14ac:dyDescent="0.25">
      <c r="A236">
        <v>209</v>
      </c>
      <c r="B236" s="7">
        <f>EDATE($B$17,209)</f>
      </c>
      <c r="C236" s="4">
        <f>SUM(G236:P236)</f>
      </c>
      <c r="D236" s="4">
        <f>SUM(Q236:Z236)</f>
      </c>
      <c r="E236" s="4">
        <f>SUM(AA236:AJ236)+SUM(BE236:BN236)</f>
      </c>
      <c r="G236" s="4">
        <f>MAX(0,AK236-BE236)</f>
      </c>
      <c r="H236" s="4">
        <f>MAX(0,AL236-BF236)</f>
      </c>
      <c r="I236" s="4">
        <f>MAX(0,AM236-BG236)</f>
      </c>
      <c r="J236" s="4">
        <f>MAX(0,AN236-BH236)</f>
      </c>
      <c r="K236" s="4">
        <f>MAX(0,AO236-BI236)</f>
      </c>
      <c r="L236" s="4">
        <f>MAX(0,AP236-BJ236)</f>
      </c>
      <c r="M236" s="4">
        <f>MAX(0,AQ236-BK236)</f>
      </c>
      <c r="N236" s="4">
        <f>MAX(0,AR236-BL236)</f>
      </c>
      <c r="O236" s="4">
        <f>MAX(0,AS236-BM236)</f>
      </c>
      <c r="P236" s="4">
        <f>MAX(0,AT236-BN236)</f>
      </c>
      <c r="Q236" s="4">
        <f>IF(G235&gt;0,G235*($J$5/100/12),0)</f>
      </c>
      <c r="R236" s="4">
        <f>IF(H235&gt;0,H235*($J$6/100/12),0)</f>
      </c>
      <c r="S236" s="4">
        <f>IF(I235&gt;0,I235*($J$7/100/12),0)</f>
      </c>
      <c r="T236" s="4">
        <f>IF(J235&gt;0,J235*($J$8/100/12),0)</f>
      </c>
      <c r="U236" s="4">
        <f>IF(K235&gt;0,K235*($J$9/100/12),0)</f>
      </c>
      <c r="V236" s="4">
        <f>IF(L235&gt;0,L235*($J$10/100/12),0)</f>
      </c>
      <c r="W236" s="4">
        <f>IF(M235&gt;0,M235*($J$11/100/12),0)</f>
      </c>
      <c r="X236" s="4">
        <f>IF(N235&gt;0,N235*($J$12/100/12),0)</f>
      </c>
      <c r="Y236" s="4">
        <f>IF(O235&gt;0,O235*($J$13/100/12),0)</f>
      </c>
      <c r="Z236" s="4">
        <f>IF(P235&gt;0,P235*($J$14/100/12),0)</f>
      </c>
      <c r="AA236" s="4">
        <f>IF(G235&lt;=0,0,MIN($K$5,(G235+Q236)))</f>
      </c>
      <c r="AB236" s="4">
        <f>IF(H235&lt;=0,0,MIN($K$6,(H235+R236)))</f>
      </c>
      <c r="AC236" s="4">
        <f>IF(I235&lt;=0,0,MIN($K$7,(I235+S236)))</f>
      </c>
      <c r="AD236" s="4">
        <f>IF(J235&lt;=0,0,MIN($K$8,(J235+T236)))</f>
      </c>
      <c r="AE236" s="4">
        <f>IF(K235&lt;=0,0,MIN($K$9,(K235+U236)))</f>
      </c>
      <c r="AF236" s="4">
        <f>IF(L235&lt;=0,0,MIN($K$10,(L235+V236)))</f>
      </c>
      <c r="AG236" s="4">
        <f>IF(M235&lt;=0,0,MIN($K$11,(M235+W236)))</f>
      </c>
      <c r="AH236" s="4">
        <f>IF(N235&lt;=0,0,MIN($K$12,(N235+X236)))</f>
      </c>
      <c r="AI236" s="4">
        <f>IF(O235&lt;=0,0,MIN($K$13,(O235+Y236)))</f>
      </c>
      <c r="AJ236" s="4">
        <f>IF(P235&lt;=0,0,MIN($K$14,(P235+Z236)))</f>
      </c>
      <c r="AK236" s="4">
        <f>(G235+Q236)-AA236</f>
      </c>
      <c r="AL236" s="4">
        <f>(H235+R236)-AB236</f>
      </c>
      <c r="AM236" s="4">
        <f>(I235+S236)-AC236</f>
      </c>
      <c r="AN236" s="4">
        <f>(J235+T236)-AD236</f>
      </c>
      <c r="AO236" s="4">
        <f>(K235+U236)-AE236</f>
      </c>
      <c r="AP236" s="4">
        <f>(L235+V236)-AF236</f>
      </c>
      <c r="AQ236" s="4">
        <f>(M235+W236)-AG236</f>
      </c>
      <c r="AR236" s="4">
        <f>(N235+X236)-AH236</f>
      </c>
      <c r="AS236" s="4">
        <f>(O235+Y236)-AI236</f>
      </c>
      <c r="AT236" s="4">
        <f>(P235+Z236)-AJ236</f>
      </c>
      <c r="AU236" s="4">
        <f>$B$16+SUM($K$5:$K$14)-SUM(AA236:AJ236)</f>
      </c>
      <c r="AV236" s="4">
        <f>AU236-BE236</f>
      </c>
      <c r="AW236" s="4">
        <f>AV236-BF236</f>
      </c>
      <c r="AX236" s="4">
        <f>AW236-BG236</f>
      </c>
      <c r="AY236" s="4">
        <f>AX236-BH236</f>
      </c>
      <c r="AZ236" s="4">
        <f>AY236-BI236</f>
      </c>
      <c r="BA236" s="4">
        <f>AZ236-BJ236</f>
      </c>
      <c r="BB236" s="4">
        <f>BA236-BK236</f>
      </c>
      <c r="BC236" s="4">
        <f>BB236-BL236</f>
      </c>
      <c r="BD236" s="4">
        <f>BC236-BM236</f>
      </c>
      <c r="BE236" s="4">
        <f>IF(G235&lt;=0,0,MIN(AU236,AK236))</f>
      </c>
      <c r="BF236" s="4">
        <f>IF(H235&lt;=0,0,MIN(AV236,AL236))</f>
      </c>
      <c r="BG236" s="4">
        <f>IF(I235&lt;=0,0,MIN(AW236,AM236))</f>
      </c>
      <c r="BH236" s="4">
        <f>IF(J235&lt;=0,0,MIN(AX236,AN236))</f>
      </c>
      <c r="BI236" s="4">
        <f>IF(K235&lt;=0,0,MIN(AY236,AO236))</f>
      </c>
      <c r="BJ236" s="4">
        <f>IF(L235&lt;=0,0,MIN(AZ236,AP236))</f>
      </c>
      <c r="BK236" s="4">
        <f>IF(M235&lt;=0,0,MIN(BA236,AQ236))</f>
      </c>
      <c r="BL236" s="4">
        <f>IF(N235&lt;=0,0,MIN(BB236,AR236))</f>
      </c>
      <c r="BM236" s="4">
        <f>IF(O235&lt;=0,0,MIN(BC236,AS236))</f>
      </c>
      <c r="BN236" s="4">
        <f>IF(P235&lt;=0,0,MIN(BD236,AT236))</f>
      </c>
    </row>
    <row r="237" spans="1:66" x14ac:dyDescent="0.25">
      <c r="A237">
        <v>210</v>
      </c>
      <c r="B237" s="7">
        <f>EDATE($B$17,210)</f>
      </c>
      <c r="C237" s="4">
        <f>SUM(G237:P237)</f>
      </c>
      <c r="D237" s="4">
        <f>SUM(Q237:Z237)</f>
      </c>
      <c r="E237" s="4">
        <f>SUM(AA237:AJ237)+SUM(BE237:BN237)</f>
      </c>
      <c r="G237" s="4">
        <f>MAX(0,AK237-BE237)</f>
      </c>
      <c r="H237" s="4">
        <f>MAX(0,AL237-BF237)</f>
      </c>
      <c r="I237" s="4">
        <f>MAX(0,AM237-BG237)</f>
      </c>
      <c r="J237" s="4">
        <f>MAX(0,AN237-BH237)</f>
      </c>
      <c r="K237" s="4">
        <f>MAX(0,AO237-BI237)</f>
      </c>
      <c r="L237" s="4">
        <f>MAX(0,AP237-BJ237)</f>
      </c>
      <c r="M237" s="4">
        <f>MAX(0,AQ237-BK237)</f>
      </c>
      <c r="N237" s="4">
        <f>MAX(0,AR237-BL237)</f>
      </c>
      <c r="O237" s="4">
        <f>MAX(0,AS237-BM237)</f>
      </c>
      <c r="P237" s="4">
        <f>MAX(0,AT237-BN237)</f>
      </c>
      <c r="Q237" s="4">
        <f>IF(G236&gt;0,G236*($J$5/100/12),0)</f>
      </c>
      <c r="R237" s="4">
        <f>IF(H236&gt;0,H236*($J$6/100/12),0)</f>
      </c>
      <c r="S237" s="4">
        <f>IF(I236&gt;0,I236*($J$7/100/12),0)</f>
      </c>
      <c r="T237" s="4">
        <f>IF(J236&gt;0,J236*($J$8/100/12),0)</f>
      </c>
      <c r="U237" s="4">
        <f>IF(K236&gt;0,K236*($J$9/100/12),0)</f>
      </c>
      <c r="V237" s="4">
        <f>IF(L236&gt;0,L236*($J$10/100/12),0)</f>
      </c>
      <c r="W237" s="4">
        <f>IF(M236&gt;0,M236*($J$11/100/12),0)</f>
      </c>
      <c r="X237" s="4">
        <f>IF(N236&gt;0,N236*($J$12/100/12),0)</f>
      </c>
      <c r="Y237" s="4">
        <f>IF(O236&gt;0,O236*($J$13/100/12),0)</f>
      </c>
      <c r="Z237" s="4">
        <f>IF(P236&gt;0,P236*($J$14/100/12),0)</f>
      </c>
      <c r="AA237" s="4">
        <f>IF(G236&lt;=0,0,MIN($K$5,(G236+Q237)))</f>
      </c>
      <c r="AB237" s="4">
        <f>IF(H236&lt;=0,0,MIN($K$6,(H236+R237)))</f>
      </c>
      <c r="AC237" s="4">
        <f>IF(I236&lt;=0,0,MIN($K$7,(I236+S237)))</f>
      </c>
      <c r="AD237" s="4">
        <f>IF(J236&lt;=0,0,MIN($K$8,(J236+T237)))</f>
      </c>
      <c r="AE237" s="4">
        <f>IF(K236&lt;=0,0,MIN($K$9,(K236+U237)))</f>
      </c>
      <c r="AF237" s="4">
        <f>IF(L236&lt;=0,0,MIN($K$10,(L236+V237)))</f>
      </c>
      <c r="AG237" s="4">
        <f>IF(M236&lt;=0,0,MIN($K$11,(M236+W237)))</f>
      </c>
      <c r="AH237" s="4">
        <f>IF(N236&lt;=0,0,MIN($K$12,(N236+X237)))</f>
      </c>
      <c r="AI237" s="4">
        <f>IF(O236&lt;=0,0,MIN($K$13,(O236+Y237)))</f>
      </c>
      <c r="AJ237" s="4">
        <f>IF(P236&lt;=0,0,MIN($K$14,(P236+Z237)))</f>
      </c>
      <c r="AK237" s="4">
        <f>(G236+Q237)-AA237</f>
      </c>
      <c r="AL237" s="4">
        <f>(H236+R237)-AB237</f>
      </c>
      <c r="AM237" s="4">
        <f>(I236+S237)-AC237</f>
      </c>
      <c r="AN237" s="4">
        <f>(J236+T237)-AD237</f>
      </c>
      <c r="AO237" s="4">
        <f>(K236+U237)-AE237</f>
      </c>
      <c r="AP237" s="4">
        <f>(L236+V237)-AF237</f>
      </c>
      <c r="AQ237" s="4">
        <f>(M236+W237)-AG237</f>
      </c>
      <c r="AR237" s="4">
        <f>(N236+X237)-AH237</f>
      </c>
      <c r="AS237" s="4">
        <f>(O236+Y237)-AI237</f>
      </c>
      <c r="AT237" s="4">
        <f>(P236+Z237)-AJ237</f>
      </c>
      <c r="AU237" s="4">
        <f>$B$16+SUM($K$5:$K$14)-SUM(AA237:AJ237)</f>
      </c>
      <c r="AV237" s="4">
        <f>AU237-BE237</f>
      </c>
      <c r="AW237" s="4">
        <f>AV237-BF237</f>
      </c>
      <c r="AX237" s="4">
        <f>AW237-BG237</f>
      </c>
      <c r="AY237" s="4">
        <f>AX237-BH237</f>
      </c>
      <c r="AZ237" s="4">
        <f>AY237-BI237</f>
      </c>
      <c r="BA237" s="4">
        <f>AZ237-BJ237</f>
      </c>
      <c r="BB237" s="4">
        <f>BA237-BK237</f>
      </c>
      <c r="BC237" s="4">
        <f>BB237-BL237</f>
      </c>
      <c r="BD237" s="4">
        <f>BC237-BM237</f>
      </c>
      <c r="BE237" s="4">
        <f>IF(G236&lt;=0,0,MIN(AU237,AK237))</f>
      </c>
      <c r="BF237" s="4">
        <f>IF(H236&lt;=0,0,MIN(AV237,AL237))</f>
      </c>
      <c r="BG237" s="4">
        <f>IF(I236&lt;=0,0,MIN(AW237,AM237))</f>
      </c>
      <c r="BH237" s="4">
        <f>IF(J236&lt;=0,0,MIN(AX237,AN237))</f>
      </c>
      <c r="BI237" s="4">
        <f>IF(K236&lt;=0,0,MIN(AY237,AO237))</f>
      </c>
      <c r="BJ237" s="4">
        <f>IF(L236&lt;=0,0,MIN(AZ237,AP237))</f>
      </c>
      <c r="BK237" s="4">
        <f>IF(M236&lt;=0,0,MIN(BA237,AQ237))</f>
      </c>
      <c r="BL237" s="4">
        <f>IF(N236&lt;=0,0,MIN(BB237,AR237))</f>
      </c>
      <c r="BM237" s="4">
        <f>IF(O236&lt;=0,0,MIN(BC237,AS237))</f>
      </c>
      <c r="BN237" s="4">
        <f>IF(P236&lt;=0,0,MIN(BD237,AT237))</f>
      </c>
    </row>
    <row r="238" spans="1:66" x14ac:dyDescent="0.25">
      <c r="A238">
        <v>211</v>
      </c>
      <c r="B238" s="7">
        <f>EDATE($B$17,211)</f>
      </c>
      <c r="C238" s="4">
        <f>SUM(G238:P238)</f>
      </c>
      <c r="D238" s="4">
        <f>SUM(Q238:Z238)</f>
      </c>
      <c r="E238" s="4">
        <f>SUM(AA238:AJ238)+SUM(BE238:BN238)</f>
      </c>
      <c r="G238" s="4">
        <f>MAX(0,AK238-BE238)</f>
      </c>
      <c r="H238" s="4">
        <f>MAX(0,AL238-BF238)</f>
      </c>
      <c r="I238" s="4">
        <f>MAX(0,AM238-BG238)</f>
      </c>
      <c r="J238" s="4">
        <f>MAX(0,AN238-BH238)</f>
      </c>
      <c r="K238" s="4">
        <f>MAX(0,AO238-BI238)</f>
      </c>
      <c r="L238" s="4">
        <f>MAX(0,AP238-BJ238)</f>
      </c>
      <c r="M238" s="4">
        <f>MAX(0,AQ238-BK238)</f>
      </c>
      <c r="N238" s="4">
        <f>MAX(0,AR238-BL238)</f>
      </c>
      <c r="O238" s="4">
        <f>MAX(0,AS238-BM238)</f>
      </c>
      <c r="P238" s="4">
        <f>MAX(0,AT238-BN238)</f>
      </c>
      <c r="Q238" s="4">
        <f>IF(G237&gt;0,G237*($J$5/100/12),0)</f>
      </c>
      <c r="R238" s="4">
        <f>IF(H237&gt;0,H237*($J$6/100/12),0)</f>
      </c>
      <c r="S238" s="4">
        <f>IF(I237&gt;0,I237*($J$7/100/12),0)</f>
      </c>
      <c r="T238" s="4">
        <f>IF(J237&gt;0,J237*($J$8/100/12),0)</f>
      </c>
      <c r="U238" s="4">
        <f>IF(K237&gt;0,K237*($J$9/100/12),0)</f>
      </c>
      <c r="V238" s="4">
        <f>IF(L237&gt;0,L237*($J$10/100/12),0)</f>
      </c>
      <c r="W238" s="4">
        <f>IF(M237&gt;0,M237*($J$11/100/12),0)</f>
      </c>
      <c r="X238" s="4">
        <f>IF(N237&gt;0,N237*($J$12/100/12),0)</f>
      </c>
      <c r="Y238" s="4">
        <f>IF(O237&gt;0,O237*($J$13/100/12),0)</f>
      </c>
      <c r="Z238" s="4">
        <f>IF(P237&gt;0,P237*($J$14/100/12),0)</f>
      </c>
      <c r="AA238" s="4">
        <f>IF(G237&lt;=0,0,MIN($K$5,(G237+Q238)))</f>
      </c>
      <c r="AB238" s="4">
        <f>IF(H237&lt;=0,0,MIN($K$6,(H237+R238)))</f>
      </c>
      <c r="AC238" s="4">
        <f>IF(I237&lt;=0,0,MIN($K$7,(I237+S238)))</f>
      </c>
      <c r="AD238" s="4">
        <f>IF(J237&lt;=0,0,MIN($K$8,(J237+T238)))</f>
      </c>
      <c r="AE238" s="4">
        <f>IF(K237&lt;=0,0,MIN($K$9,(K237+U238)))</f>
      </c>
      <c r="AF238" s="4">
        <f>IF(L237&lt;=0,0,MIN($K$10,(L237+V238)))</f>
      </c>
      <c r="AG238" s="4">
        <f>IF(M237&lt;=0,0,MIN($K$11,(M237+W238)))</f>
      </c>
      <c r="AH238" s="4">
        <f>IF(N237&lt;=0,0,MIN($K$12,(N237+X238)))</f>
      </c>
      <c r="AI238" s="4">
        <f>IF(O237&lt;=0,0,MIN($K$13,(O237+Y238)))</f>
      </c>
      <c r="AJ238" s="4">
        <f>IF(P237&lt;=0,0,MIN($K$14,(P237+Z238)))</f>
      </c>
      <c r="AK238" s="4">
        <f>(G237+Q238)-AA238</f>
      </c>
      <c r="AL238" s="4">
        <f>(H237+R238)-AB238</f>
      </c>
      <c r="AM238" s="4">
        <f>(I237+S238)-AC238</f>
      </c>
      <c r="AN238" s="4">
        <f>(J237+T238)-AD238</f>
      </c>
      <c r="AO238" s="4">
        <f>(K237+U238)-AE238</f>
      </c>
      <c r="AP238" s="4">
        <f>(L237+V238)-AF238</f>
      </c>
      <c r="AQ238" s="4">
        <f>(M237+W238)-AG238</f>
      </c>
      <c r="AR238" s="4">
        <f>(N237+X238)-AH238</f>
      </c>
      <c r="AS238" s="4">
        <f>(O237+Y238)-AI238</f>
      </c>
      <c r="AT238" s="4">
        <f>(P237+Z238)-AJ238</f>
      </c>
      <c r="AU238" s="4">
        <f>$B$16+SUM($K$5:$K$14)-SUM(AA238:AJ238)</f>
      </c>
      <c r="AV238" s="4">
        <f>AU238-BE238</f>
      </c>
      <c r="AW238" s="4">
        <f>AV238-BF238</f>
      </c>
      <c r="AX238" s="4">
        <f>AW238-BG238</f>
      </c>
      <c r="AY238" s="4">
        <f>AX238-BH238</f>
      </c>
      <c r="AZ238" s="4">
        <f>AY238-BI238</f>
      </c>
      <c r="BA238" s="4">
        <f>AZ238-BJ238</f>
      </c>
      <c r="BB238" s="4">
        <f>BA238-BK238</f>
      </c>
      <c r="BC238" s="4">
        <f>BB238-BL238</f>
      </c>
      <c r="BD238" s="4">
        <f>BC238-BM238</f>
      </c>
      <c r="BE238" s="4">
        <f>IF(G237&lt;=0,0,MIN(AU238,AK238))</f>
      </c>
      <c r="BF238" s="4">
        <f>IF(H237&lt;=0,0,MIN(AV238,AL238))</f>
      </c>
      <c r="BG238" s="4">
        <f>IF(I237&lt;=0,0,MIN(AW238,AM238))</f>
      </c>
      <c r="BH238" s="4">
        <f>IF(J237&lt;=0,0,MIN(AX238,AN238))</f>
      </c>
      <c r="BI238" s="4">
        <f>IF(K237&lt;=0,0,MIN(AY238,AO238))</f>
      </c>
      <c r="BJ238" s="4">
        <f>IF(L237&lt;=0,0,MIN(AZ238,AP238))</f>
      </c>
      <c r="BK238" s="4">
        <f>IF(M237&lt;=0,0,MIN(BA238,AQ238))</f>
      </c>
      <c r="BL238" s="4">
        <f>IF(N237&lt;=0,0,MIN(BB238,AR238))</f>
      </c>
      <c r="BM238" s="4">
        <f>IF(O237&lt;=0,0,MIN(BC238,AS238))</f>
      </c>
      <c r="BN238" s="4">
        <f>IF(P237&lt;=0,0,MIN(BD238,AT238))</f>
      </c>
    </row>
    <row r="239" spans="1:66" x14ac:dyDescent="0.25">
      <c r="A239">
        <v>212</v>
      </c>
      <c r="B239" s="7">
        <f>EDATE($B$17,212)</f>
      </c>
      <c r="C239" s="4">
        <f>SUM(G239:P239)</f>
      </c>
      <c r="D239" s="4">
        <f>SUM(Q239:Z239)</f>
      </c>
      <c r="E239" s="4">
        <f>SUM(AA239:AJ239)+SUM(BE239:BN239)</f>
      </c>
      <c r="G239" s="4">
        <f>MAX(0,AK239-BE239)</f>
      </c>
      <c r="H239" s="4">
        <f>MAX(0,AL239-BF239)</f>
      </c>
      <c r="I239" s="4">
        <f>MAX(0,AM239-BG239)</f>
      </c>
      <c r="J239" s="4">
        <f>MAX(0,AN239-BH239)</f>
      </c>
      <c r="K239" s="4">
        <f>MAX(0,AO239-BI239)</f>
      </c>
      <c r="L239" s="4">
        <f>MAX(0,AP239-BJ239)</f>
      </c>
      <c r="M239" s="4">
        <f>MAX(0,AQ239-BK239)</f>
      </c>
      <c r="N239" s="4">
        <f>MAX(0,AR239-BL239)</f>
      </c>
      <c r="O239" s="4">
        <f>MAX(0,AS239-BM239)</f>
      </c>
      <c r="P239" s="4">
        <f>MAX(0,AT239-BN239)</f>
      </c>
      <c r="Q239" s="4">
        <f>IF(G238&gt;0,G238*($J$5/100/12),0)</f>
      </c>
      <c r="R239" s="4">
        <f>IF(H238&gt;0,H238*($J$6/100/12),0)</f>
      </c>
      <c r="S239" s="4">
        <f>IF(I238&gt;0,I238*($J$7/100/12),0)</f>
      </c>
      <c r="T239" s="4">
        <f>IF(J238&gt;0,J238*($J$8/100/12),0)</f>
      </c>
      <c r="U239" s="4">
        <f>IF(K238&gt;0,K238*($J$9/100/12),0)</f>
      </c>
      <c r="V239" s="4">
        <f>IF(L238&gt;0,L238*($J$10/100/12),0)</f>
      </c>
      <c r="W239" s="4">
        <f>IF(M238&gt;0,M238*($J$11/100/12),0)</f>
      </c>
      <c r="X239" s="4">
        <f>IF(N238&gt;0,N238*($J$12/100/12),0)</f>
      </c>
      <c r="Y239" s="4">
        <f>IF(O238&gt;0,O238*($J$13/100/12),0)</f>
      </c>
      <c r="Z239" s="4">
        <f>IF(P238&gt;0,P238*($J$14/100/12),0)</f>
      </c>
      <c r="AA239" s="4">
        <f>IF(G238&lt;=0,0,MIN($K$5,(G238+Q239)))</f>
      </c>
      <c r="AB239" s="4">
        <f>IF(H238&lt;=0,0,MIN($K$6,(H238+R239)))</f>
      </c>
      <c r="AC239" s="4">
        <f>IF(I238&lt;=0,0,MIN($K$7,(I238+S239)))</f>
      </c>
      <c r="AD239" s="4">
        <f>IF(J238&lt;=0,0,MIN($K$8,(J238+T239)))</f>
      </c>
      <c r="AE239" s="4">
        <f>IF(K238&lt;=0,0,MIN($K$9,(K238+U239)))</f>
      </c>
      <c r="AF239" s="4">
        <f>IF(L238&lt;=0,0,MIN($K$10,(L238+V239)))</f>
      </c>
      <c r="AG239" s="4">
        <f>IF(M238&lt;=0,0,MIN($K$11,(M238+W239)))</f>
      </c>
      <c r="AH239" s="4">
        <f>IF(N238&lt;=0,0,MIN($K$12,(N238+X239)))</f>
      </c>
      <c r="AI239" s="4">
        <f>IF(O238&lt;=0,0,MIN($K$13,(O238+Y239)))</f>
      </c>
      <c r="AJ239" s="4">
        <f>IF(P238&lt;=0,0,MIN($K$14,(P238+Z239)))</f>
      </c>
      <c r="AK239" s="4">
        <f>(G238+Q239)-AA239</f>
      </c>
      <c r="AL239" s="4">
        <f>(H238+R239)-AB239</f>
      </c>
      <c r="AM239" s="4">
        <f>(I238+S239)-AC239</f>
      </c>
      <c r="AN239" s="4">
        <f>(J238+T239)-AD239</f>
      </c>
      <c r="AO239" s="4">
        <f>(K238+U239)-AE239</f>
      </c>
      <c r="AP239" s="4">
        <f>(L238+V239)-AF239</f>
      </c>
      <c r="AQ239" s="4">
        <f>(M238+W239)-AG239</f>
      </c>
      <c r="AR239" s="4">
        <f>(N238+X239)-AH239</f>
      </c>
      <c r="AS239" s="4">
        <f>(O238+Y239)-AI239</f>
      </c>
      <c r="AT239" s="4">
        <f>(P238+Z239)-AJ239</f>
      </c>
      <c r="AU239" s="4">
        <f>$B$16+SUM($K$5:$K$14)-SUM(AA239:AJ239)</f>
      </c>
      <c r="AV239" s="4">
        <f>AU239-BE239</f>
      </c>
      <c r="AW239" s="4">
        <f>AV239-BF239</f>
      </c>
      <c r="AX239" s="4">
        <f>AW239-BG239</f>
      </c>
      <c r="AY239" s="4">
        <f>AX239-BH239</f>
      </c>
      <c r="AZ239" s="4">
        <f>AY239-BI239</f>
      </c>
      <c r="BA239" s="4">
        <f>AZ239-BJ239</f>
      </c>
      <c r="BB239" s="4">
        <f>BA239-BK239</f>
      </c>
      <c r="BC239" s="4">
        <f>BB239-BL239</f>
      </c>
      <c r="BD239" s="4">
        <f>BC239-BM239</f>
      </c>
      <c r="BE239" s="4">
        <f>IF(G238&lt;=0,0,MIN(AU239,AK239))</f>
      </c>
      <c r="BF239" s="4">
        <f>IF(H238&lt;=0,0,MIN(AV239,AL239))</f>
      </c>
      <c r="BG239" s="4">
        <f>IF(I238&lt;=0,0,MIN(AW239,AM239))</f>
      </c>
      <c r="BH239" s="4">
        <f>IF(J238&lt;=0,0,MIN(AX239,AN239))</f>
      </c>
      <c r="BI239" s="4">
        <f>IF(K238&lt;=0,0,MIN(AY239,AO239))</f>
      </c>
      <c r="BJ239" s="4">
        <f>IF(L238&lt;=0,0,MIN(AZ239,AP239))</f>
      </c>
      <c r="BK239" s="4">
        <f>IF(M238&lt;=0,0,MIN(BA239,AQ239))</f>
      </c>
      <c r="BL239" s="4">
        <f>IF(N238&lt;=0,0,MIN(BB239,AR239))</f>
      </c>
      <c r="BM239" s="4">
        <f>IF(O238&lt;=0,0,MIN(BC239,AS239))</f>
      </c>
      <c r="BN239" s="4">
        <f>IF(P238&lt;=0,0,MIN(BD239,AT239))</f>
      </c>
    </row>
    <row r="240" spans="1:66" x14ac:dyDescent="0.25">
      <c r="A240">
        <v>213</v>
      </c>
      <c r="B240" s="7">
        <f>EDATE($B$17,213)</f>
      </c>
      <c r="C240" s="4">
        <f>SUM(G240:P240)</f>
      </c>
      <c r="D240" s="4">
        <f>SUM(Q240:Z240)</f>
      </c>
      <c r="E240" s="4">
        <f>SUM(AA240:AJ240)+SUM(BE240:BN240)</f>
      </c>
      <c r="G240" s="4">
        <f>MAX(0,AK240-BE240)</f>
      </c>
      <c r="H240" s="4">
        <f>MAX(0,AL240-BF240)</f>
      </c>
      <c r="I240" s="4">
        <f>MAX(0,AM240-BG240)</f>
      </c>
      <c r="J240" s="4">
        <f>MAX(0,AN240-BH240)</f>
      </c>
      <c r="K240" s="4">
        <f>MAX(0,AO240-BI240)</f>
      </c>
      <c r="L240" s="4">
        <f>MAX(0,AP240-BJ240)</f>
      </c>
      <c r="M240" s="4">
        <f>MAX(0,AQ240-BK240)</f>
      </c>
      <c r="N240" s="4">
        <f>MAX(0,AR240-BL240)</f>
      </c>
      <c r="O240" s="4">
        <f>MAX(0,AS240-BM240)</f>
      </c>
      <c r="P240" s="4">
        <f>MAX(0,AT240-BN240)</f>
      </c>
      <c r="Q240" s="4">
        <f>IF(G239&gt;0,G239*($J$5/100/12),0)</f>
      </c>
      <c r="R240" s="4">
        <f>IF(H239&gt;0,H239*($J$6/100/12),0)</f>
      </c>
      <c r="S240" s="4">
        <f>IF(I239&gt;0,I239*($J$7/100/12),0)</f>
      </c>
      <c r="T240" s="4">
        <f>IF(J239&gt;0,J239*($J$8/100/12),0)</f>
      </c>
      <c r="U240" s="4">
        <f>IF(K239&gt;0,K239*($J$9/100/12),0)</f>
      </c>
      <c r="V240" s="4">
        <f>IF(L239&gt;0,L239*($J$10/100/12),0)</f>
      </c>
      <c r="W240" s="4">
        <f>IF(M239&gt;0,M239*($J$11/100/12),0)</f>
      </c>
      <c r="X240" s="4">
        <f>IF(N239&gt;0,N239*($J$12/100/12),0)</f>
      </c>
      <c r="Y240" s="4">
        <f>IF(O239&gt;0,O239*($J$13/100/12),0)</f>
      </c>
      <c r="Z240" s="4">
        <f>IF(P239&gt;0,P239*($J$14/100/12),0)</f>
      </c>
      <c r="AA240" s="4">
        <f>IF(G239&lt;=0,0,MIN($K$5,(G239+Q240)))</f>
      </c>
      <c r="AB240" s="4">
        <f>IF(H239&lt;=0,0,MIN($K$6,(H239+R240)))</f>
      </c>
      <c r="AC240" s="4">
        <f>IF(I239&lt;=0,0,MIN($K$7,(I239+S240)))</f>
      </c>
      <c r="AD240" s="4">
        <f>IF(J239&lt;=0,0,MIN($K$8,(J239+T240)))</f>
      </c>
      <c r="AE240" s="4">
        <f>IF(K239&lt;=0,0,MIN($K$9,(K239+U240)))</f>
      </c>
      <c r="AF240" s="4">
        <f>IF(L239&lt;=0,0,MIN($K$10,(L239+V240)))</f>
      </c>
      <c r="AG240" s="4">
        <f>IF(M239&lt;=0,0,MIN($K$11,(M239+W240)))</f>
      </c>
      <c r="AH240" s="4">
        <f>IF(N239&lt;=0,0,MIN($K$12,(N239+X240)))</f>
      </c>
      <c r="AI240" s="4">
        <f>IF(O239&lt;=0,0,MIN($K$13,(O239+Y240)))</f>
      </c>
      <c r="AJ240" s="4">
        <f>IF(P239&lt;=0,0,MIN($K$14,(P239+Z240)))</f>
      </c>
      <c r="AK240" s="4">
        <f>(G239+Q240)-AA240</f>
      </c>
      <c r="AL240" s="4">
        <f>(H239+R240)-AB240</f>
      </c>
      <c r="AM240" s="4">
        <f>(I239+S240)-AC240</f>
      </c>
      <c r="AN240" s="4">
        <f>(J239+T240)-AD240</f>
      </c>
      <c r="AO240" s="4">
        <f>(K239+U240)-AE240</f>
      </c>
      <c r="AP240" s="4">
        <f>(L239+V240)-AF240</f>
      </c>
      <c r="AQ240" s="4">
        <f>(M239+W240)-AG240</f>
      </c>
      <c r="AR240" s="4">
        <f>(N239+X240)-AH240</f>
      </c>
      <c r="AS240" s="4">
        <f>(O239+Y240)-AI240</f>
      </c>
      <c r="AT240" s="4">
        <f>(P239+Z240)-AJ240</f>
      </c>
      <c r="AU240" s="4">
        <f>$B$16+SUM($K$5:$K$14)-SUM(AA240:AJ240)</f>
      </c>
      <c r="AV240" s="4">
        <f>AU240-BE240</f>
      </c>
      <c r="AW240" s="4">
        <f>AV240-BF240</f>
      </c>
      <c r="AX240" s="4">
        <f>AW240-BG240</f>
      </c>
      <c r="AY240" s="4">
        <f>AX240-BH240</f>
      </c>
      <c r="AZ240" s="4">
        <f>AY240-BI240</f>
      </c>
      <c r="BA240" s="4">
        <f>AZ240-BJ240</f>
      </c>
      <c r="BB240" s="4">
        <f>BA240-BK240</f>
      </c>
      <c r="BC240" s="4">
        <f>BB240-BL240</f>
      </c>
      <c r="BD240" s="4">
        <f>BC240-BM240</f>
      </c>
      <c r="BE240" s="4">
        <f>IF(G239&lt;=0,0,MIN(AU240,AK240))</f>
      </c>
      <c r="BF240" s="4">
        <f>IF(H239&lt;=0,0,MIN(AV240,AL240))</f>
      </c>
      <c r="BG240" s="4">
        <f>IF(I239&lt;=0,0,MIN(AW240,AM240))</f>
      </c>
      <c r="BH240" s="4">
        <f>IF(J239&lt;=0,0,MIN(AX240,AN240))</f>
      </c>
      <c r="BI240" s="4">
        <f>IF(K239&lt;=0,0,MIN(AY240,AO240))</f>
      </c>
      <c r="BJ240" s="4">
        <f>IF(L239&lt;=0,0,MIN(AZ240,AP240))</f>
      </c>
      <c r="BK240" s="4">
        <f>IF(M239&lt;=0,0,MIN(BA240,AQ240))</f>
      </c>
      <c r="BL240" s="4">
        <f>IF(N239&lt;=0,0,MIN(BB240,AR240))</f>
      </c>
      <c r="BM240" s="4">
        <f>IF(O239&lt;=0,0,MIN(BC240,AS240))</f>
      </c>
      <c r="BN240" s="4">
        <f>IF(P239&lt;=0,0,MIN(BD240,AT240))</f>
      </c>
    </row>
    <row r="241" spans="1:66" x14ac:dyDescent="0.25">
      <c r="A241">
        <v>214</v>
      </c>
      <c r="B241" s="7">
        <f>EDATE($B$17,214)</f>
      </c>
      <c r="C241" s="4">
        <f>SUM(G241:P241)</f>
      </c>
      <c r="D241" s="4">
        <f>SUM(Q241:Z241)</f>
      </c>
      <c r="E241" s="4">
        <f>SUM(AA241:AJ241)+SUM(BE241:BN241)</f>
      </c>
      <c r="G241" s="4">
        <f>MAX(0,AK241-BE241)</f>
      </c>
      <c r="H241" s="4">
        <f>MAX(0,AL241-BF241)</f>
      </c>
      <c r="I241" s="4">
        <f>MAX(0,AM241-BG241)</f>
      </c>
      <c r="J241" s="4">
        <f>MAX(0,AN241-BH241)</f>
      </c>
      <c r="K241" s="4">
        <f>MAX(0,AO241-BI241)</f>
      </c>
      <c r="L241" s="4">
        <f>MAX(0,AP241-BJ241)</f>
      </c>
      <c r="M241" s="4">
        <f>MAX(0,AQ241-BK241)</f>
      </c>
      <c r="N241" s="4">
        <f>MAX(0,AR241-BL241)</f>
      </c>
      <c r="O241" s="4">
        <f>MAX(0,AS241-BM241)</f>
      </c>
      <c r="P241" s="4">
        <f>MAX(0,AT241-BN241)</f>
      </c>
      <c r="Q241" s="4">
        <f>IF(G240&gt;0,G240*($J$5/100/12),0)</f>
      </c>
      <c r="R241" s="4">
        <f>IF(H240&gt;0,H240*($J$6/100/12),0)</f>
      </c>
      <c r="S241" s="4">
        <f>IF(I240&gt;0,I240*($J$7/100/12),0)</f>
      </c>
      <c r="T241" s="4">
        <f>IF(J240&gt;0,J240*($J$8/100/12),0)</f>
      </c>
      <c r="U241" s="4">
        <f>IF(K240&gt;0,K240*($J$9/100/12),0)</f>
      </c>
      <c r="V241" s="4">
        <f>IF(L240&gt;0,L240*($J$10/100/12),0)</f>
      </c>
      <c r="W241" s="4">
        <f>IF(M240&gt;0,M240*($J$11/100/12),0)</f>
      </c>
      <c r="X241" s="4">
        <f>IF(N240&gt;0,N240*($J$12/100/12),0)</f>
      </c>
      <c r="Y241" s="4">
        <f>IF(O240&gt;0,O240*($J$13/100/12),0)</f>
      </c>
      <c r="Z241" s="4">
        <f>IF(P240&gt;0,P240*($J$14/100/12),0)</f>
      </c>
      <c r="AA241" s="4">
        <f>IF(G240&lt;=0,0,MIN($K$5,(G240+Q241)))</f>
      </c>
      <c r="AB241" s="4">
        <f>IF(H240&lt;=0,0,MIN($K$6,(H240+R241)))</f>
      </c>
      <c r="AC241" s="4">
        <f>IF(I240&lt;=0,0,MIN($K$7,(I240+S241)))</f>
      </c>
      <c r="AD241" s="4">
        <f>IF(J240&lt;=0,0,MIN($K$8,(J240+T241)))</f>
      </c>
      <c r="AE241" s="4">
        <f>IF(K240&lt;=0,0,MIN($K$9,(K240+U241)))</f>
      </c>
      <c r="AF241" s="4">
        <f>IF(L240&lt;=0,0,MIN($K$10,(L240+V241)))</f>
      </c>
      <c r="AG241" s="4">
        <f>IF(M240&lt;=0,0,MIN($K$11,(M240+W241)))</f>
      </c>
      <c r="AH241" s="4">
        <f>IF(N240&lt;=0,0,MIN($K$12,(N240+X241)))</f>
      </c>
      <c r="AI241" s="4">
        <f>IF(O240&lt;=0,0,MIN($K$13,(O240+Y241)))</f>
      </c>
      <c r="AJ241" s="4">
        <f>IF(P240&lt;=0,0,MIN($K$14,(P240+Z241)))</f>
      </c>
      <c r="AK241" s="4">
        <f>(G240+Q241)-AA241</f>
      </c>
      <c r="AL241" s="4">
        <f>(H240+R241)-AB241</f>
      </c>
      <c r="AM241" s="4">
        <f>(I240+S241)-AC241</f>
      </c>
      <c r="AN241" s="4">
        <f>(J240+T241)-AD241</f>
      </c>
      <c r="AO241" s="4">
        <f>(K240+U241)-AE241</f>
      </c>
      <c r="AP241" s="4">
        <f>(L240+V241)-AF241</f>
      </c>
      <c r="AQ241" s="4">
        <f>(M240+W241)-AG241</f>
      </c>
      <c r="AR241" s="4">
        <f>(N240+X241)-AH241</f>
      </c>
      <c r="AS241" s="4">
        <f>(O240+Y241)-AI241</f>
      </c>
      <c r="AT241" s="4">
        <f>(P240+Z241)-AJ241</f>
      </c>
      <c r="AU241" s="4">
        <f>$B$16+SUM($K$5:$K$14)-SUM(AA241:AJ241)</f>
      </c>
      <c r="AV241" s="4">
        <f>AU241-BE241</f>
      </c>
      <c r="AW241" s="4">
        <f>AV241-BF241</f>
      </c>
      <c r="AX241" s="4">
        <f>AW241-BG241</f>
      </c>
      <c r="AY241" s="4">
        <f>AX241-BH241</f>
      </c>
      <c r="AZ241" s="4">
        <f>AY241-BI241</f>
      </c>
      <c r="BA241" s="4">
        <f>AZ241-BJ241</f>
      </c>
      <c r="BB241" s="4">
        <f>BA241-BK241</f>
      </c>
      <c r="BC241" s="4">
        <f>BB241-BL241</f>
      </c>
      <c r="BD241" s="4">
        <f>BC241-BM241</f>
      </c>
      <c r="BE241" s="4">
        <f>IF(G240&lt;=0,0,MIN(AU241,AK241))</f>
      </c>
      <c r="BF241" s="4">
        <f>IF(H240&lt;=0,0,MIN(AV241,AL241))</f>
      </c>
      <c r="BG241" s="4">
        <f>IF(I240&lt;=0,0,MIN(AW241,AM241))</f>
      </c>
      <c r="BH241" s="4">
        <f>IF(J240&lt;=0,0,MIN(AX241,AN241))</f>
      </c>
      <c r="BI241" s="4">
        <f>IF(K240&lt;=0,0,MIN(AY241,AO241))</f>
      </c>
      <c r="BJ241" s="4">
        <f>IF(L240&lt;=0,0,MIN(AZ241,AP241))</f>
      </c>
      <c r="BK241" s="4">
        <f>IF(M240&lt;=0,0,MIN(BA241,AQ241))</f>
      </c>
      <c r="BL241" s="4">
        <f>IF(N240&lt;=0,0,MIN(BB241,AR241))</f>
      </c>
      <c r="BM241" s="4">
        <f>IF(O240&lt;=0,0,MIN(BC241,AS241))</f>
      </c>
      <c r="BN241" s="4">
        <f>IF(P240&lt;=0,0,MIN(BD241,AT241))</f>
      </c>
    </row>
    <row r="242" spans="1:66" x14ac:dyDescent="0.25">
      <c r="A242">
        <v>215</v>
      </c>
      <c r="B242" s="7">
        <f>EDATE($B$17,215)</f>
      </c>
      <c r="C242" s="4">
        <f>SUM(G242:P242)</f>
      </c>
      <c r="D242" s="4">
        <f>SUM(Q242:Z242)</f>
      </c>
      <c r="E242" s="4">
        <f>SUM(AA242:AJ242)+SUM(BE242:BN242)</f>
      </c>
      <c r="G242" s="4">
        <f>MAX(0,AK242-BE242)</f>
      </c>
      <c r="H242" s="4">
        <f>MAX(0,AL242-BF242)</f>
      </c>
      <c r="I242" s="4">
        <f>MAX(0,AM242-BG242)</f>
      </c>
      <c r="J242" s="4">
        <f>MAX(0,AN242-BH242)</f>
      </c>
      <c r="K242" s="4">
        <f>MAX(0,AO242-BI242)</f>
      </c>
      <c r="L242" s="4">
        <f>MAX(0,AP242-BJ242)</f>
      </c>
      <c r="M242" s="4">
        <f>MAX(0,AQ242-BK242)</f>
      </c>
      <c r="N242" s="4">
        <f>MAX(0,AR242-BL242)</f>
      </c>
      <c r="O242" s="4">
        <f>MAX(0,AS242-BM242)</f>
      </c>
      <c r="P242" s="4">
        <f>MAX(0,AT242-BN242)</f>
      </c>
      <c r="Q242" s="4">
        <f>IF(G241&gt;0,G241*($J$5/100/12),0)</f>
      </c>
      <c r="R242" s="4">
        <f>IF(H241&gt;0,H241*($J$6/100/12),0)</f>
      </c>
      <c r="S242" s="4">
        <f>IF(I241&gt;0,I241*($J$7/100/12),0)</f>
      </c>
      <c r="T242" s="4">
        <f>IF(J241&gt;0,J241*($J$8/100/12),0)</f>
      </c>
      <c r="U242" s="4">
        <f>IF(K241&gt;0,K241*($J$9/100/12),0)</f>
      </c>
      <c r="V242" s="4">
        <f>IF(L241&gt;0,L241*($J$10/100/12),0)</f>
      </c>
      <c r="W242" s="4">
        <f>IF(M241&gt;0,M241*($J$11/100/12),0)</f>
      </c>
      <c r="X242" s="4">
        <f>IF(N241&gt;0,N241*($J$12/100/12),0)</f>
      </c>
      <c r="Y242" s="4">
        <f>IF(O241&gt;0,O241*($J$13/100/12),0)</f>
      </c>
      <c r="Z242" s="4">
        <f>IF(P241&gt;0,P241*($J$14/100/12),0)</f>
      </c>
      <c r="AA242" s="4">
        <f>IF(G241&lt;=0,0,MIN($K$5,(G241+Q242)))</f>
      </c>
      <c r="AB242" s="4">
        <f>IF(H241&lt;=0,0,MIN($K$6,(H241+R242)))</f>
      </c>
      <c r="AC242" s="4">
        <f>IF(I241&lt;=0,0,MIN($K$7,(I241+S242)))</f>
      </c>
      <c r="AD242" s="4">
        <f>IF(J241&lt;=0,0,MIN($K$8,(J241+T242)))</f>
      </c>
      <c r="AE242" s="4">
        <f>IF(K241&lt;=0,0,MIN($K$9,(K241+U242)))</f>
      </c>
      <c r="AF242" s="4">
        <f>IF(L241&lt;=0,0,MIN($K$10,(L241+V242)))</f>
      </c>
      <c r="AG242" s="4">
        <f>IF(M241&lt;=0,0,MIN($K$11,(M241+W242)))</f>
      </c>
      <c r="AH242" s="4">
        <f>IF(N241&lt;=0,0,MIN($K$12,(N241+X242)))</f>
      </c>
      <c r="AI242" s="4">
        <f>IF(O241&lt;=0,0,MIN($K$13,(O241+Y242)))</f>
      </c>
      <c r="AJ242" s="4">
        <f>IF(P241&lt;=0,0,MIN($K$14,(P241+Z242)))</f>
      </c>
      <c r="AK242" s="4">
        <f>(G241+Q242)-AA242</f>
      </c>
      <c r="AL242" s="4">
        <f>(H241+R242)-AB242</f>
      </c>
      <c r="AM242" s="4">
        <f>(I241+S242)-AC242</f>
      </c>
      <c r="AN242" s="4">
        <f>(J241+T242)-AD242</f>
      </c>
      <c r="AO242" s="4">
        <f>(K241+U242)-AE242</f>
      </c>
      <c r="AP242" s="4">
        <f>(L241+V242)-AF242</f>
      </c>
      <c r="AQ242" s="4">
        <f>(M241+W242)-AG242</f>
      </c>
      <c r="AR242" s="4">
        <f>(N241+X242)-AH242</f>
      </c>
      <c r="AS242" s="4">
        <f>(O241+Y242)-AI242</f>
      </c>
      <c r="AT242" s="4">
        <f>(P241+Z242)-AJ242</f>
      </c>
      <c r="AU242" s="4">
        <f>$B$16+SUM($K$5:$K$14)-SUM(AA242:AJ242)</f>
      </c>
      <c r="AV242" s="4">
        <f>AU242-BE242</f>
      </c>
      <c r="AW242" s="4">
        <f>AV242-BF242</f>
      </c>
      <c r="AX242" s="4">
        <f>AW242-BG242</f>
      </c>
      <c r="AY242" s="4">
        <f>AX242-BH242</f>
      </c>
      <c r="AZ242" s="4">
        <f>AY242-BI242</f>
      </c>
      <c r="BA242" s="4">
        <f>AZ242-BJ242</f>
      </c>
      <c r="BB242" s="4">
        <f>BA242-BK242</f>
      </c>
      <c r="BC242" s="4">
        <f>BB242-BL242</f>
      </c>
      <c r="BD242" s="4">
        <f>BC242-BM242</f>
      </c>
      <c r="BE242" s="4">
        <f>IF(G241&lt;=0,0,MIN(AU242,AK242))</f>
      </c>
      <c r="BF242" s="4">
        <f>IF(H241&lt;=0,0,MIN(AV242,AL242))</f>
      </c>
      <c r="BG242" s="4">
        <f>IF(I241&lt;=0,0,MIN(AW242,AM242))</f>
      </c>
      <c r="BH242" s="4">
        <f>IF(J241&lt;=0,0,MIN(AX242,AN242))</f>
      </c>
      <c r="BI242" s="4">
        <f>IF(K241&lt;=0,0,MIN(AY242,AO242))</f>
      </c>
      <c r="BJ242" s="4">
        <f>IF(L241&lt;=0,0,MIN(AZ242,AP242))</f>
      </c>
      <c r="BK242" s="4">
        <f>IF(M241&lt;=0,0,MIN(BA242,AQ242))</f>
      </c>
      <c r="BL242" s="4">
        <f>IF(N241&lt;=0,0,MIN(BB242,AR242))</f>
      </c>
      <c r="BM242" s="4">
        <f>IF(O241&lt;=0,0,MIN(BC242,AS242))</f>
      </c>
      <c r="BN242" s="4">
        <f>IF(P241&lt;=0,0,MIN(BD242,AT242))</f>
      </c>
    </row>
    <row r="243" spans="1:66" x14ac:dyDescent="0.25">
      <c r="A243">
        <v>216</v>
      </c>
      <c r="B243" s="7">
        <f>EDATE($B$17,216)</f>
      </c>
      <c r="C243" s="4">
        <f>SUM(G243:P243)</f>
      </c>
      <c r="D243" s="4">
        <f>SUM(Q243:Z243)</f>
      </c>
      <c r="E243" s="4">
        <f>SUM(AA243:AJ243)+SUM(BE243:BN243)</f>
      </c>
      <c r="G243" s="4">
        <f>MAX(0,AK243-BE243)</f>
      </c>
      <c r="H243" s="4">
        <f>MAX(0,AL243-BF243)</f>
      </c>
      <c r="I243" s="4">
        <f>MAX(0,AM243-BG243)</f>
      </c>
      <c r="J243" s="4">
        <f>MAX(0,AN243-BH243)</f>
      </c>
      <c r="K243" s="4">
        <f>MAX(0,AO243-BI243)</f>
      </c>
      <c r="L243" s="4">
        <f>MAX(0,AP243-BJ243)</f>
      </c>
      <c r="M243" s="4">
        <f>MAX(0,AQ243-BK243)</f>
      </c>
      <c r="N243" s="4">
        <f>MAX(0,AR243-BL243)</f>
      </c>
      <c r="O243" s="4">
        <f>MAX(0,AS243-BM243)</f>
      </c>
      <c r="P243" s="4">
        <f>MAX(0,AT243-BN243)</f>
      </c>
      <c r="Q243" s="4">
        <f>IF(G242&gt;0,G242*($J$5/100/12),0)</f>
      </c>
      <c r="R243" s="4">
        <f>IF(H242&gt;0,H242*($J$6/100/12),0)</f>
      </c>
      <c r="S243" s="4">
        <f>IF(I242&gt;0,I242*($J$7/100/12),0)</f>
      </c>
      <c r="T243" s="4">
        <f>IF(J242&gt;0,J242*($J$8/100/12),0)</f>
      </c>
      <c r="U243" s="4">
        <f>IF(K242&gt;0,K242*($J$9/100/12),0)</f>
      </c>
      <c r="V243" s="4">
        <f>IF(L242&gt;0,L242*($J$10/100/12),0)</f>
      </c>
      <c r="W243" s="4">
        <f>IF(M242&gt;0,M242*($J$11/100/12),0)</f>
      </c>
      <c r="X243" s="4">
        <f>IF(N242&gt;0,N242*($J$12/100/12),0)</f>
      </c>
      <c r="Y243" s="4">
        <f>IF(O242&gt;0,O242*($J$13/100/12),0)</f>
      </c>
      <c r="Z243" s="4">
        <f>IF(P242&gt;0,P242*($J$14/100/12),0)</f>
      </c>
      <c r="AA243" s="4">
        <f>IF(G242&lt;=0,0,MIN($K$5,(G242+Q243)))</f>
      </c>
      <c r="AB243" s="4">
        <f>IF(H242&lt;=0,0,MIN($K$6,(H242+R243)))</f>
      </c>
      <c r="AC243" s="4">
        <f>IF(I242&lt;=0,0,MIN($K$7,(I242+S243)))</f>
      </c>
      <c r="AD243" s="4">
        <f>IF(J242&lt;=0,0,MIN($K$8,(J242+T243)))</f>
      </c>
      <c r="AE243" s="4">
        <f>IF(K242&lt;=0,0,MIN($K$9,(K242+U243)))</f>
      </c>
      <c r="AF243" s="4">
        <f>IF(L242&lt;=0,0,MIN($K$10,(L242+V243)))</f>
      </c>
      <c r="AG243" s="4">
        <f>IF(M242&lt;=0,0,MIN($K$11,(M242+W243)))</f>
      </c>
      <c r="AH243" s="4">
        <f>IF(N242&lt;=0,0,MIN($K$12,(N242+X243)))</f>
      </c>
      <c r="AI243" s="4">
        <f>IF(O242&lt;=0,0,MIN($K$13,(O242+Y243)))</f>
      </c>
      <c r="AJ243" s="4">
        <f>IF(P242&lt;=0,0,MIN($K$14,(P242+Z243)))</f>
      </c>
      <c r="AK243" s="4">
        <f>(G242+Q243)-AA243</f>
      </c>
      <c r="AL243" s="4">
        <f>(H242+R243)-AB243</f>
      </c>
      <c r="AM243" s="4">
        <f>(I242+S243)-AC243</f>
      </c>
      <c r="AN243" s="4">
        <f>(J242+T243)-AD243</f>
      </c>
      <c r="AO243" s="4">
        <f>(K242+U243)-AE243</f>
      </c>
      <c r="AP243" s="4">
        <f>(L242+V243)-AF243</f>
      </c>
      <c r="AQ243" s="4">
        <f>(M242+W243)-AG243</f>
      </c>
      <c r="AR243" s="4">
        <f>(N242+X243)-AH243</f>
      </c>
      <c r="AS243" s="4">
        <f>(O242+Y243)-AI243</f>
      </c>
      <c r="AT243" s="4">
        <f>(P242+Z243)-AJ243</f>
      </c>
      <c r="AU243" s="4">
        <f>$B$16+SUM($K$5:$K$14)-SUM(AA243:AJ243)</f>
      </c>
      <c r="AV243" s="4">
        <f>AU243-BE243</f>
      </c>
      <c r="AW243" s="4">
        <f>AV243-BF243</f>
      </c>
      <c r="AX243" s="4">
        <f>AW243-BG243</f>
      </c>
      <c r="AY243" s="4">
        <f>AX243-BH243</f>
      </c>
      <c r="AZ243" s="4">
        <f>AY243-BI243</f>
      </c>
      <c r="BA243" s="4">
        <f>AZ243-BJ243</f>
      </c>
      <c r="BB243" s="4">
        <f>BA243-BK243</f>
      </c>
      <c r="BC243" s="4">
        <f>BB243-BL243</f>
      </c>
      <c r="BD243" s="4">
        <f>BC243-BM243</f>
      </c>
      <c r="BE243" s="4">
        <f>IF(G242&lt;=0,0,MIN(AU243,AK243))</f>
      </c>
      <c r="BF243" s="4">
        <f>IF(H242&lt;=0,0,MIN(AV243,AL243))</f>
      </c>
      <c r="BG243" s="4">
        <f>IF(I242&lt;=0,0,MIN(AW243,AM243))</f>
      </c>
      <c r="BH243" s="4">
        <f>IF(J242&lt;=0,0,MIN(AX243,AN243))</f>
      </c>
      <c r="BI243" s="4">
        <f>IF(K242&lt;=0,0,MIN(AY243,AO243))</f>
      </c>
      <c r="BJ243" s="4">
        <f>IF(L242&lt;=0,0,MIN(AZ243,AP243))</f>
      </c>
      <c r="BK243" s="4">
        <f>IF(M242&lt;=0,0,MIN(BA243,AQ243))</f>
      </c>
      <c r="BL243" s="4">
        <f>IF(N242&lt;=0,0,MIN(BB243,AR243))</f>
      </c>
      <c r="BM243" s="4">
        <f>IF(O242&lt;=0,0,MIN(BC243,AS243))</f>
      </c>
      <c r="BN243" s="4">
        <f>IF(P242&lt;=0,0,MIN(BD243,AT243))</f>
      </c>
    </row>
    <row r="244" spans="1:66" x14ac:dyDescent="0.25">
      <c r="A244">
        <v>217</v>
      </c>
      <c r="B244" s="7">
        <f>EDATE($B$17,217)</f>
      </c>
      <c r="C244" s="4">
        <f>SUM(G244:P244)</f>
      </c>
      <c r="D244" s="4">
        <f>SUM(Q244:Z244)</f>
      </c>
      <c r="E244" s="4">
        <f>SUM(AA244:AJ244)+SUM(BE244:BN244)</f>
      </c>
      <c r="G244" s="4">
        <f>MAX(0,AK244-BE244)</f>
      </c>
      <c r="H244" s="4">
        <f>MAX(0,AL244-BF244)</f>
      </c>
      <c r="I244" s="4">
        <f>MAX(0,AM244-BG244)</f>
      </c>
      <c r="J244" s="4">
        <f>MAX(0,AN244-BH244)</f>
      </c>
      <c r="K244" s="4">
        <f>MAX(0,AO244-BI244)</f>
      </c>
      <c r="L244" s="4">
        <f>MAX(0,AP244-BJ244)</f>
      </c>
      <c r="M244" s="4">
        <f>MAX(0,AQ244-BK244)</f>
      </c>
      <c r="N244" s="4">
        <f>MAX(0,AR244-BL244)</f>
      </c>
      <c r="O244" s="4">
        <f>MAX(0,AS244-BM244)</f>
      </c>
      <c r="P244" s="4">
        <f>MAX(0,AT244-BN244)</f>
      </c>
      <c r="Q244" s="4">
        <f>IF(G243&gt;0,G243*($J$5/100/12),0)</f>
      </c>
      <c r="R244" s="4">
        <f>IF(H243&gt;0,H243*($J$6/100/12),0)</f>
      </c>
      <c r="S244" s="4">
        <f>IF(I243&gt;0,I243*($J$7/100/12),0)</f>
      </c>
      <c r="T244" s="4">
        <f>IF(J243&gt;0,J243*($J$8/100/12),0)</f>
      </c>
      <c r="U244" s="4">
        <f>IF(K243&gt;0,K243*($J$9/100/12),0)</f>
      </c>
      <c r="V244" s="4">
        <f>IF(L243&gt;0,L243*($J$10/100/12),0)</f>
      </c>
      <c r="W244" s="4">
        <f>IF(M243&gt;0,M243*($J$11/100/12),0)</f>
      </c>
      <c r="X244" s="4">
        <f>IF(N243&gt;0,N243*($J$12/100/12),0)</f>
      </c>
      <c r="Y244" s="4">
        <f>IF(O243&gt;0,O243*($J$13/100/12),0)</f>
      </c>
      <c r="Z244" s="4">
        <f>IF(P243&gt;0,P243*($J$14/100/12),0)</f>
      </c>
      <c r="AA244" s="4">
        <f>IF(G243&lt;=0,0,MIN($K$5,(G243+Q244)))</f>
      </c>
      <c r="AB244" s="4">
        <f>IF(H243&lt;=0,0,MIN($K$6,(H243+R244)))</f>
      </c>
      <c r="AC244" s="4">
        <f>IF(I243&lt;=0,0,MIN($K$7,(I243+S244)))</f>
      </c>
      <c r="AD244" s="4">
        <f>IF(J243&lt;=0,0,MIN($K$8,(J243+T244)))</f>
      </c>
      <c r="AE244" s="4">
        <f>IF(K243&lt;=0,0,MIN($K$9,(K243+U244)))</f>
      </c>
      <c r="AF244" s="4">
        <f>IF(L243&lt;=0,0,MIN($K$10,(L243+V244)))</f>
      </c>
      <c r="AG244" s="4">
        <f>IF(M243&lt;=0,0,MIN($K$11,(M243+W244)))</f>
      </c>
      <c r="AH244" s="4">
        <f>IF(N243&lt;=0,0,MIN($K$12,(N243+X244)))</f>
      </c>
      <c r="AI244" s="4">
        <f>IF(O243&lt;=0,0,MIN($K$13,(O243+Y244)))</f>
      </c>
      <c r="AJ244" s="4">
        <f>IF(P243&lt;=0,0,MIN($K$14,(P243+Z244)))</f>
      </c>
      <c r="AK244" s="4">
        <f>(G243+Q244)-AA244</f>
      </c>
      <c r="AL244" s="4">
        <f>(H243+R244)-AB244</f>
      </c>
      <c r="AM244" s="4">
        <f>(I243+S244)-AC244</f>
      </c>
      <c r="AN244" s="4">
        <f>(J243+T244)-AD244</f>
      </c>
      <c r="AO244" s="4">
        <f>(K243+U244)-AE244</f>
      </c>
      <c r="AP244" s="4">
        <f>(L243+V244)-AF244</f>
      </c>
      <c r="AQ244" s="4">
        <f>(M243+W244)-AG244</f>
      </c>
      <c r="AR244" s="4">
        <f>(N243+X244)-AH244</f>
      </c>
      <c r="AS244" s="4">
        <f>(O243+Y244)-AI244</f>
      </c>
      <c r="AT244" s="4">
        <f>(P243+Z244)-AJ244</f>
      </c>
      <c r="AU244" s="4">
        <f>$B$16+SUM($K$5:$K$14)-SUM(AA244:AJ244)</f>
      </c>
      <c r="AV244" s="4">
        <f>AU244-BE244</f>
      </c>
      <c r="AW244" s="4">
        <f>AV244-BF244</f>
      </c>
      <c r="AX244" s="4">
        <f>AW244-BG244</f>
      </c>
      <c r="AY244" s="4">
        <f>AX244-BH244</f>
      </c>
      <c r="AZ244" s="4">
        <f>AY244-BI244</f>
      </c>
      <c r="BA244" s="4">
        <f>AZ244-BJ244</f>
      </c>
      <c r="BB244" s="4">
        <f>BA244-BK244</f>
      </c>
      <c r="BC244" s="4">
        <f>BB244-BL244</f>
      </c>
      <c r="BD244" s="4">
        <f>BC244-BM244</f>
      </c>
      <c r="BE244" s="4">
        <f>IF(G243&lt;=0,0,MIN(AU244,AK244))</f>
      </c>
      <c r="BF244" s="4">
        <f>IF(H243&lt;=0,0,MIN(AV244,AL244))</f>
      </c>
      <c r="BG244" s="4">
        <f>IF(I243&lt;=0,0,MIN(AW244,AM244))</f>
      </c>
      <c r="BH244" s="4">
        <f>IF(J243&lt;=0,0,MIN(AX244,AN244))</f>
      </c>
      <c r="BI244" s="4">
        <f>IF(K243&lt;=0,0,MIN(AY244,AO244))</f>
      </c>
      <c r="BJ244" s="4">
        <f>IF(L243&lt;=0,0,MIN(AZ244,AP244))</f>
      </c>
      <c r="BK244" s="4">
        <f>IF(M243&lt;=0,0,MIN(BA244,AQ244))</f>
      </c>
      <c r="BL244" s="4">
        <f>IF(N243&lt;=0,0,MIN(BB244,AR244))</f>
      </c>
      <c r="BM244" s="4">
        <f>IF(O243&lt;=0,0,MIN(BC244,AS244))</f>
      </c>
      <c r="BN244" s="4">
        <f>IF(P243&lt;=0,0,MIN(BD244,AT244))</f>
      </c>
    </row>
    <row r="245" spans="1:66" x14ac:dyDescent="0.25">
      <c r="A245">
        <v>218</v>
      </c>
      <c r="B245" s="7">
        <f>EDATE($B$17,218)</f>
      </c>
      <c r="C245" s="4">
        <f>SUM(G245:P245)</f>
      </c>
      <c r="D245" s="4">
        <f>SUM(Q245:Z245)</f>
      </c>
      <c r="E245" s="4">
        <f>SUM(AA245:AJ245)+SUM(BE245:BN245)</f>
      </c>
      <c r="G245" s="4">
        <f>MAX(0,AK245-BE245)</f>
      </c>
      <c r="H245" s="4">
        <f>MAX(0,AL245-BF245)</f>
      </c>
      <c r="I245" s="4">
        <f>MAX(0,AM245-BG245)</f>
      </c>
      <c r="J245" s="4">
        <f>MAX(0,AN245-BH245)</f>
      </c>
      <c r="K245" s="4">
        <f>MAX(0,AO245-BI245)</f>
      </c>
      <c r="L245" s="4">
        <f>MAX(0,AP245-BJ245)</f>
      </c>
      <c r="M245" s="4">
        <f>MAX(0,AQ245-BK245)</f>
      </c>
      <c r="N245" s="4">
        <f>MAX(0,AR245-BL245)</f>
      </c>
      <c r="O245" s="4">
        <f>MAX(0,AS245-BM245)</f>
      </c>
      <c r="P245" s="4">
        <f>MAX(0,AT245-BN245)</f>
      </c>
      <c r="Q245" s="4">
        <f>IF(G244&gt;0,G244*($J$5/100/12),0)</f>
      </c>
      <c r="R245" s="4">
        <f>IF(H244&gt;0,H244*($J$6/100/12),0)</f>
      </c>
      <c r="S245" s="4">
        <f>IF(I244&gt;0,I244*($J$7/100/12),0)</f>
      </c>
      <c r="T245" s="4">
        <f>IF(J244&gt;0,J244*($J$8/100/12),0)</f>
      </c>
      <c r="U245" s="4">
        <f>IF(K244&gt;0,K244*($J$9/100/12),0)</f>
      </c>
      <c r="V245" s="4">
        <f>IF(L244&gt;0,L244*($J$10/100/12),0)</f>
      </c>
      <c r="W245" s="4">
        <f>IF(M244&gt;0,M244*($J$11/100/12),0)</f>
      </c>
      <c r="X245" s="4">
        <f>IF(N244&gt;0,N244*($J$12/100/12),0)</f>
      </c>
      <c r="Y245" s="4">
        <f>IF(O244&gt;0,O244*($J$13/100/12),0)</f>
      </c>
      <c r="Z245" s="4">
        <f>IF(P244&gt;0,P244*($J$14/100/12),0)</f>
      </c>
      <c r="AA245" s="4">
        <f>IF(G244&lt;=0,0,MIN($K$5,(G244+Q245)))</f>
      </c>
      <c r="AB245" s="4">
        <f>IF(H244&lt;=0,0,MIN($K$6,(H244+R245)))</f>
      </c>
      <c r="AC245" s="4">
        <f>IF(I244&lt;=0,0,MIN($K$7,(I244+S245)))</f>
      </c>
      <c r="AD245" s="4">
        <f>IF(J244&lt;=0,0,MIN($K$8,(J244+T245)))</f>
      </c>
      <c r="AE245" s="4">
        <f>IF(K244&lt;=0,0,MIN($K$9,(K244+U245)))</f>
      </c>
      <c r="AF245" s="4">
        <f>IF(L244&lt;=0,0,MIN($K$10,(L244+V245)))</f>
      </c>
      <c r="AG245" s="4">
        <f>IF(M244&lt;=0,0,MIN($K$11,(M244+W245)))</f>
      </c>
      <c r="AH245" s="4">
        <f>IF(N244&lt;=0,0,MIN($K$12,(N244+X245)))</f>
      </c>
      <c r="AI245" s="4">
        <f>IF(O244&lt;=0,0,MIN($K$13,(O244+Y245)))</f>
      </c>
      <c r="AJ245" s="4">
        <f>IF(P244&lt;=0,0,MIN($K$14,(P244+Z245)))</f>
      </c>
      <c r="AK245" s="4">
        <f>(G244+Q245)-AA245</f>
      </c>
      <c r="AL245" s="4">
        <f>(H244+R245)-AB245</f>
      </c>
      <c r="AM245" s="4">
        <f>(I244+S245)-AC245</f>
      </c>
      <c r="AN245" s="4">
        <f>(J244+T245)-AD245</f>
      </c>
      <c r="AO245" s="4">
        <f>(K244+U245)-AE245</f>
      </c>
      <c r="AP245" s="4">
        <f>(L244+V245)-AF245</f>
      </c>
      <c r="AQ245" s="4">
        <f>(M244+W245)-AG245</f>
      </c>
      <c r="AR245" s="4">
        <f>(N244+X245)-AH245</f>
      </c>
      <c r="AS245" s="4">
        <f>(O244+Y245)-AI245</f>
      </c>
      <c r="AT245" s="4">
        <f>(P244+Z245)-AJ245</f>
      </c>
      <c r="AU245" s="4">
        <f>$B$16+SUM($K$5:$K$14)-SUM(AA245:AJ245)</f>
      </c>
      <c r="AV245" s="4">
        <f>AU245-BE245</f>
      </c>
      <c r="AW245" s="4">
        <f>AV245-BF245</f>
      </c>
      <c r="AX245" s="4">
        <f>AW245-BG245</f>
      </c>
      <c r="AY245" s="4">
        <f>AX245-BH245</f>
      </c>
      <c r="AZ245" s="4">
        <f>AY245-BI245</f>
      </c>
      <c r="BA245" s="4">
        <f>AZ245-BJ245</f>
      </c>
      <c r="BB245" s="4">
        <f>BA245-BK245</f>
      </c>
      <c r="BC245" s="4">
        <f>BB245-BL245</f>
      </c>
      <c r="BD245" s="4">
        <f>BC245-BM245</f>
      </c>
      <c r="BE245" s="4">
        <f>IF(G244&lt;=0,0,MIN(AU245,AK245))</f>
      </c>
      <c r="BF245" s="4">
        <f>IF(H244&lt;=0,0,MIN(AV245,AL245))</f>
      </c>
      <c r="BG245" s="4">
        <f>IF(I244&lt;=0,0,MIN(AW245,AM245))</f>
      </c>
      <c r="BH245" s="4">
        <f>IF(J244&lt;=0,0,MIN(AX245,AN245))</f>
      </c>
      <c r="BI245" s="4">
        <f>IF(K244&lt;=0,0,MIN(AY245,AO245))</f>
      </c>
      <c r="BJ245" s="4">
        <f>IF(L244&lt;=0,0,MIN(AZ245,AP245))</f>
      </c>
      <c r="BK245" s="4">
        <f>IF(M244&lt;=0,0,MIN(BA245,AQ245))</f>
      </c>
      <c r="BL245" s="4">
        <f>IF(N244&lt;=0,0,MIN(BB245,AR245))</f>
      </c>
      <c r="BM245" s="4">
        <f>IF(O244&lt;=0,0,MIN(BC245,AS245))</f>
      </c>
      <c r="BN245" s="4">
        <f>IF(P244&lt;=0,0,MIN(BD245,AT245))</f>
      </c>
    </row>
    <row r="246" spans="1:66" x14ac:dyDescent="0.25">
      <c r="A246">
        <v>219</v>
      </c>
      <c r="B246" s="7">
        <f>EDATE($B$17,219)</f>
      </c>
      <c r="C246" s="4">
        <f>SUM(G246:P246)</f>
      </c>
      <c r="D246" s="4">
        <f>SUM(Q246:Z246)</f>
      </c>
      <c r="E246" s="4">
        <f>SUM(AA246:AJ246)+SUM(BE246:BN246)</f>
      </c>
      <c r="G246" s="4">
        <f>MAX(0,AK246-BE246)</f>
      </c>
      <c r="H246" s="4">
        <f>MAX(0,AL246-BF246)</f>
      </c>
      <c r="I246" s="4">
        <f>MAX(0,AM246-BG246)</f>
      </c>
      <c r="J246" s="4">
        <f>MAX(0,AN246-BH246)</f>
      </c>
      <c r="K246" s="4">
        <f>MAX(0,AO246-BI246)</f>
      </c>
      <c r="L246" s="4">
        <f>MAX(0,AP246-BJ246)</f>
      </c>
      <c r="M246" s="4">
        <f>MAX(0,AQ246-BK246)</f>
      </c>
      <c r="N246" s="4">
        <f>MAX(0,AR246-BL246)</f>
      </c>
      <c r="O246" s="4">
        <f>MAX(0,AS246-BM246)</f>
      </c>
      <c r="P246" s="4">
        <f>MAX(0,AT246-BN246)</f>
      </c>
      <c r="Q246" s="4">
        <f>IF(G245&gt;0,G245*($J$5/100/12),0)</f>
      </c>
      <c r="R246" s="4">
        <f>IF(H245&gt;0,H245*($J$6/100/12),0)</f>
      </c>
      <c r="S246" s="4">
        <f>IF(I245&gt;0,I245*($J$7/100/12),0)</f>
      </c>
      <c r="T246" s="4">
        <f>IF(J245&gt;0,J245*($J$8/100/12),0)</f>
      </c>
      <c r="U246" s="4">
        <f>IF(K245&gt;0,K245*($J$9/100/12),0)</f>
      </c>
      <c r="V246" s="4">
        <f>IF(L245&gt;0,L245*($J$10/100/12),0)</f>
      </c>
      <c r="W246" s="4">
        <f>IF(M245&gt;0,M245*($J$11/100/12),0)</f>
      </c>
      <c r="X246" s="4">
        <f>IF(N245&gt;0,N245*($J$12/100/12),0)</f>
      </c>
      <c r="Y246" s="4">
        <f>IF(O245&gt;0,O245*($J$13/100/12),0)</f>
      </c>
      <c r="Z246" s="4">
        <f>IF(P245&gt;0,P245*($J$14/100/12),0)</f>
      </c>
      <c r="AA246" s="4">
        <f>IF(G245&lt;=0,0,MIN($K$5,(G245+Q246)))</f>
      </c>
      <c r="AB246" s="4">
        <f>IF(H245&lt;=0,0,MIN($K$6,(H245+R246)))</f>
      </c>
      <c r="AC246" s="4">
        <f>IF(I245&lt;=0,0,MIN($K$7,(I245+S246)))</f>
      </c>
      <c r="AD246" s="4">
        <f>IF(J245&lt;=0,0,MIN($K$8,(J245+T246)))</f>
      </c>
      <c r="AE246" s="4">
        <f>IF(K245&lt;=0,0,MIN($K$9,(K245+U246)))</f>
      </c>
      <c r="AF246" s="4">
        <f>IF(L245&lt;=0,0,MIN($K$10,(L245+V246)))</f>
      </c>
      <c r="AG246" s="4">
        <f>IF(M245&lt;=0,0,MIN($K$11,(M245+W246)))</f>
      </c>
      <c r="AH246" s="4">
        <f>IF(N245&lt;=0,0,MIN($K$12,(N245+X246)))</f>
      </c>
      <c r="AI246" s="4">
        <f>IF(O245&lt;=0,0,MIN($K$13,(O245+Y246)))</f>
      </c>
      <c r="AJ246" s="4">
        <f>IF(P245&lt;=0,0,MIN($K$14,(P245+Z246)))</f>
      </c>
      <c r="AK246" s="4">
        <f>(G245+Q246)-AA246</f>
      </c>
      <c r="AL246" s="4">
        <f>(H245+R246)-AB246</f>
      </c>
      <c r="AM246" s="4">
        <f>(I245+S246)-AC246</f>
      </c>
      <c r="AN246" s="4">
        <f>(J245+T246)-AD246</f>
      </c>
      <c r="AO246" s="4">
        <f>(K245+U246)-AE246</f>
      </c>
      <c r="AP246" s="4">
        <f>(L245+V246)-AF246</f>
      </c>
      <c r="AQ246" s="4">
        <f>(M245+W246)-AG246</f>
      </c>
      <c r="AR246" s="4">
        <f>(N245+X246)-AH246</f>
      </c>
      <c r="AS246" s="4">
        <f>(O245+Y246)-AI246</f>
      </c>
      <c r="AT246" s="4">
        <f>(P245+Z246)-AJ246</f>
      </c>
      <c r="AU246" s="4">
        <f>$B$16+SUM($K$5:$K$14)-SUM(AA246:AJ246)</f>
      </c>
      <c r="AV246" s="4">
        <f>AU246-BE246</f>
      </c>
      <c r="AW246" s="4">
        <f>AV246-BF246</f>
      </c>
      <c r="AX246" s="4">
        <f>AW246-BG246</f>
      </c>
      <c r="AY246" s="4">
        <f>AX246-BH246</f>
      </c>
      <c r="AZ246" s="4">
        <f>AY246-BI246</f>
      </c>
      <c r="BA246" s="4">
        <f>AZ246-BJ246</f>
      </c>
      <c r="BB246" s="4">
        <f>BA246-BK246</f>
      </c>
      <c r="BC246" s="4">
        <f>BB246-BL246</f>
      </c>
      <c r="BD246" s="4">
        <f>BC246-BM246</f>
      </c>
      <c r="BE246" s="4">
        <f>IF(G245&lt;=0,0,MIN(AU246,AK246))</f>
      </c>
      <c r="BF246" s="4">
        <f>IF(H245&lt;=0,0,MIN(AV246,AL246))</f>
      </c>
      <c r="BG246" s="4">
        <f>IF(I245&lt;=0,0,MIN(AW246,AM246))</f>
      </c>
      <c r="BH246" s="4">
        <f>IF(J245&lt;=0,0,MIN(AX246,AN246))</f>
      </c>
      <c r="BI246" s="4">
        <f>IF(K245&lt;=0,0,MIN(AY246,AO246))</f>
      </c>
      <c r="BJ246" s="4">
        <f>IF(L245&lt;=0,0,MIN(AZ246,AP246))</f>
      </c>
      <c r="BK246" s="4">
        <f>IF(M245&lt;=0,0,MIN(BA246,AQ246))</f>
      </c>
      <c r="BL246" s="4">
        <f>IF(N245&lt;=0,0,MIN(BB246,AR246))</f>
      </c>
      <c r="BM246" s="4">
        <f>IF(O245&lt;=0,0,MIN(BC246,AS246))</f>
      </c>
      <c r="BN246" s="4">
        <f>IF(P245&lt;=0,0,MIN(BD246,AT246))</f>
      </c>
    </row>
    <row r="247" spans="1:66" x14ac:dyDescent="0.25">
      <c r="A247">
        <v>220</v>
      </c>
      <c r="B247" s="7">
        <f>EDATE($B$17,220)</f>
      </c>
      <c r="C247" s="4">
        <f>SUM(G247:P247)</f>
      </c>
      <c r="D247" s="4">
        <f>SUM(Q247:Z247)</f>
      </c>
      <c r="E247" s="4">
        <f>SUM(AA247:AJ247)+SUM(BE247:BN247)</f>
      </c>
      <c r="G247" s="4">
        <f>MAX(0,AK247-BE247)</f>
      </c>
      <c r="H247" s="4">
        <f>MAX(0,AL247-BF247)</f>
      </c>
      <c r="I247" s="4">
        <f>MAX(0,AM247-BG247)</f>
      </c>
      <c r="J247" s="4">
        <f>MAX(0,AN247-BH247)</f>
      </c>
      <c r="K247" s="4">
        <f>MAX(0,AO247-BI247)</f>
      </c>
      <c r="L247" s="4">
        <f>MAX(0,AP247-BJ247)</f>
      </c>
      <c r="M247" s="4">
        <f>MAX(0,AQ247-BK247)</f>
      </c>
      <c r="N247" s="4">
        <f>MAX(0,AR247-BL247)</f>
      </c>
      <c r="O247" s="4">
        <f>MAX(0,AS247-BM247)</f>
      </c>
      <c r="P247" s="4">
        <f>MAX(0,AT247-BN247)</f>
      </c>
      <c r="Q247" s="4">
        <f>IF(G246&gt;0,G246*($J$5/100/12),0)</f>
      </c>
      <c r="R247" s="4">
        <f>IF(H246&gt;0,H246*($J$6/100/12),0)</f>
      </c>
      <c r="S247" s="4">
        <f>IF(I246&gt;0,I246*($J$7/100/12),0)</f>
      </c>
      <c r="T247" s="4">
        <f>IF(J246&gt;0,J246*($J$8/100/12),0)</f>
      </c>
      <c r="U247" s="4">
        <f>IF(K246&gt;0,K246*($J$9/100/12),0)</f>
      </c>
      <c r="V247" s="4">
        <f>IF(L246&gt;0,L246*($J$10/100/12),0)</f>
      </c>
      <c r="W247" s="4">
        <f>IF(M246&gt;0,M246*($J$11/100/12),0)</f>
      </c>
      <c r="X247" s="4">
        <f>IF(N246&gt;0,N246*($J$12/100/12),0)</f>
      </c>
      <c r="Y247" s="4">
        <f>IF(O246&gt;0,O246*($J$13/100/12),0)</f>
      </c>
      <c r="Z247" s="4">
        <f>IF(P246&gt;0,P246*($J$14/100/12),0)</f>
      </c>
      <c r="AA247" s="4">
        <f>IF(G246&lt;=0,0,MIN($K$5,(G246+Q247)))</f>
      </c>
      <c r="AB247" s="4">
        <f>IF(H246&lt;=0,0,MIN($K$6,(H246+R247)))</f>
      </c>
      <c r="AC247" s="4">
        <f>IF(I246&lt;=0,0,MIN($K$7,(I246+S247)))</f>
      </c>
      <c r="AD247" s="4">
        <f>IF(J246&lt;=0,0,MIN($K$8,(J246+T247)))</f>
      </c>
      <c r="AE247" s="4">
        <f>IF(K246&lt;=0,0,MIN($K$9,(K246+U247)))</f>
      </c>
      <c r="AF247" s="4">
        <f>IF(L246&lt;=0,0,MIN($K$10,(L246+V247)))</f>
      </c>
      <c r="AG247" s="4">
        <f>IF(M246&lt;=0,0,MIN($K$11,(M246+W247)))</f>
      </c>
      <c r="AH247" s="4">
        <f>IF(N246&lt;=0,0,MIN($K$12,(N246+X247)))</f>
      </c>
      <c r="AI247" s="4">
        <f>IF(O246&lt;=0,0,MIN($K$13,(O246+Y247)))</f>
      </c>
      <c r="AJ247" s="4">
        <f>IF(P246&lt;=0,0,MIN($K$14,(P246+Z247)))</f>
      </c>
      <c r="AK247" s="4">
        <f>(G246+Q247)-AA247</f>
      </c>
      <c r="AL247" s="4">
        <f>(H246+R247)-AB247</f>
      </c>
      <c r="AM247" s="4">
        <f>(I246+S247)-AC247</f>
      </c>
      <c r="AN247" s="4">
        <f>(J246+T247)-AD247</f>
      </c>
      <c r="AO247" s="4">
        <f>(K246+U247)-AE247</f>
      </c>
      <c r="AP247" s="4">
        <f>(L246+V247)-AF247</f>
      </c>
      <c r="AQ247" s="4">
        <f>(M246+W247)-AG247</f>
      </c>
      <c r="AR247" s="4">
        <f>(N246+X247)-AH247</f>
      </c>
      <c r="AS247" s="4">
        <f>(O246+Y247)-AI247</f>
      </c>
      <c r="AT247" s="4">
        <f>(P246+Z247)-AJ247</f>
      </c>
      <c r="AU247" s="4">
        <f>$B$16+SUM($K$5:$K$14)-SUM(AA247:AJ247)</f>
      </c>
      <c r="AV247" s="4">
        <f>AU247-BE247</f>
      </c>
      <c r="AW247" s="4">
        <f>AV247-BF247</f>
      </c>
      <c r="AX247" s="4">
        <f>AW247-BG247</f>
      </c>
      <c r="AY247" s="4">
        <f>AX247-BH247</f>
      </c>
      <c r="AZ247" s="4">
        <f>AY247-BI247</f>
      </c>
      <c r="BA247" s="4">
        <f>AZ247-BJ247</f>
      </c>
      <c r="BB247" s="4">
        <f>BA247-BK247</f>
      </c>
      <c r="BC247" s="4">
        <f>BB247-BL247</f>
      </c>
      <c r="BD247" s="4">
        <f>BC247-BM247</f>
      </c>
      <c r="BE247" s="4">
        <f>IF(G246&lt;=0,0,MIN(AU247,AK247))</f>
      </c>
      <c r="BF247" s="4">
        <f>IF(H246&lt;=0,0,MIN(AV247,AL247))</f>
      </c>
      <c r="BG247" s="4">
        <f>IF(I246&lt;=0,0,MIN(AW247,AM247))</f>
      </c>
      <c r="BH247" s="4">
        <f>IF(J246&lt;=0,0,MIN(AX247,AN247))</f>
      </c>
      <c r="BI247" s="4">
        <f>IF(K246&lt;=0,0,MIN(AY247,AO247))</f>
      </c>
      <c r="BJ247" s="4">
        <f>IF(L246&lt;=0,0,MIN(AZ247,AP247))</f>
      </c>
      <c r="BK247" s="4">
        <f>IF(M246&lt;=0,0,MIN(BA247,AQ247))</f>
      </c>
      <c r="BL247" s="4">
        <f>IF(N246&lt;=0,0,MIN(BB247,AR247))</f>
      </c>
      <c r="BM247" s="4">
        <f>IF(O246&lt;=0,0,MIN(BC247,AS247))</f>
      </c>
      <c r="BN247" s="4">
        <f>IF(P246&lt;=0,0,MIN(BD247,AT247))</f>
      </c>
    </row>
    <row r="248" spans="1:66" x14ac:dyDescent="0.25">
      <c r="A248">
        <v>221</v>
      </c>
      <c r="B248" s="7">
        <f>EDATE($B$17,221)</f>
      </c>
      <c r="C248" s="4">
        <f>SUM(G248:P248)</f>
      </c>
      <c r="D248" s="4">
        <f>SUM(Q248:Z248)</f>
      </c>
      <c r="E248" s="4">
        <f>SUM(AA248:AJ248)+SUM(BE248:BN248)</f>
      </c>
      <c r="G248" s="4">
        <f>MAX(0,AK248-BE248)</f>
      </c>
      <c r="H248" s="4">
        <f>MAX(0,AL248-BF248)</f>
      </c>
      <c r="I248" s="4">
        <f>MAX(0,AM248-BG248)</f>
      </c>
      <c r="J248" s="4">
        <f>MAX(0,AN248-BH248)</f>
      </c>
      <c r="K248" s="4">
        <f>MAX(0,AO248-BI248)</f>
      </c>
      <c r="L248" s="4">
        <f>MAX(0,AP248-BJ248)</f>
      </c>
      <c r="M248" s="4">
        <f>MAX(0,AQ248-BK248)</f>
      </c>
      <c r="N248" s="4">
        <f>MAX(0,AR248-BL248)</f>
      </c>
      <c r="O248" s="4">
        <f>MAX(0,AS248-BM248)</f>
      </c>
      <c r="P248" s="4">
        <f>MAX(0,AT248-BN248)</f>
      </c>
      <c r="Q248" s="4">
        <f>IF(G247&gt;0,G247*($J$5/100/12),0)</f>
      </c>
      <c r="R248" s="4">
        <f>IF(H247&gt;0,H247*($J$6/100/12),0)</f>
      </c>
      <c r="S248" s="4">
        <f>IF(I247&gt;0,I247*($J$7/100/12),0)</f>
      </c>
      <c r="T248" s="4">
        <f>IF(J247&gt;0,J247*($J$8/100/12),0)</f>
      </c>
      <c r="U248" s="4">
        <f>IF(K247&gt;0,K247*($J$9/100/12),0)</f>
      </c>
      <c r="V248" s="4">
        <f>IF(L247&gt;0,L247*($J$10/100/12),0)</f>
      </c>
      <c r="W248" s="4">
        <f>IF(M247&gt;0,M247*($J$11/100/12),0)</f>
      </c>
      <c r="X248" s="4">
        <f>IF(N247&gt;0,N247*($J$12/100/12),0)</f>
      </c>
      <c r="Y248" s="4">
        <f>IF(O247&gt;0,O247*($J$13/100/12),0)</f>
      </c>
      <c r="Z248" s="4">
        <f>IF(P247&gt;0,P247*($J$14/100/12),0)</f>
      </c>
      <c r="AA248" s="4">
        <f>IF(G247&lt;=0,0,MIN($K$5,(G247+Q248)))</f>
      </c>
      <c r="AB248" s="4">
        <f>IF(H247&lt;=0,0,MIN($K$6,(H247+R248)))</f>
      </c>
      <c r="AC248" s="4">
        <f>IF(I247&lt;=0,0,MIN($K$7,(I247+S248)))</f>
      </c>
      <c r="AD248" s="4">
        <f>IF(J247&lt;=0,0,MIN($K$8,(J247+T248)))</f>
      </c>
      <c r="AE248" s="4">
        <f>IF(K247&lt;=0,0,MIN($K$9,(K247+U248)))</f>
      </c>
      <c r="AF248" s="4">
        <f>IF(L247&lt;=0,0,MIN($K$10,(L247+V248)))</f>
      </c>
      <c r="AG248" s="4">
        <f>IF(M247&lt;=0,0,MIN($K$11,(M247+W248)))</f>
      </c>
      <c r="AH248" s="4">
        <f>IF(N247&lt;=0,0,MIN($K$12,(N247+X248)))</f>
      </c>
      <c r="AI248" s="4">
        <f>IF(O247&lt;=0,0,MIN($K$13,(O247+Y248)))</f>
      </c>
      <c r="AJ248" s="4">
        <f>IF(P247&lt;=0,0,MIN($K$14,(P247+Z248)))</f>
      </c>
      <c r="AK248" s="4">
        <f>(G247+Q248)-AA248</f>
      </c>
      <c r="AL248" s="4">
        <f>(H247+R248)-AB248</f>
      </c>
      <c r="AM248" s="4">
        <f>(I247+S248)-AC248</f>
      </c>
      <c r="AN248" s="4">
        <f>(J247+T248)-AD248</f>
      </c>
      <c r="AO248" s="4">
        <f>(K247+U248)-AE248</f>
      </c>
      <c r="AP248" s="4">
        <f>(L247+V248)-AF248</f>
      </c>
      <c r="AQ248" s="4">
        <f>(M247+W248)-AG248</f>
      </c>
      <c r="AR248" s="4">
        <f>(N247+X248)-AH248</f>
      </c>
      <c r="AS248" s="4">
        <f>(O247+Y248)-AI248</f>
      </c>
      <c r="AT248" s="4">
        <f>(P247+Z248)-AJ248</f>
      </c>
      <c r="AU248" s="4">
        <f>$B$16+SUM($K$5:$K$14)-SUM(AA248:AJ248)</f>
      </c>
      <c r="AV248" s="4">
        <f>AU248-BE248</f>
      </c>
      <c r="AW248" s="4">
        <f>AV248-BF248</f>
      </c>
      <c r="AX248" s="4">
        <f>AW248-BG248</f>
      </c>
      <c r="AY248" s="4">
        <f>AX248-BH248</f>
      </c>
      <c r="AZ248" s="4">
        <f>AY248-BI248</f>
      </c>
      <c r="BA248" s="4">
        <f>AZ248-BJ248</f>
      </c>
      <c r="BB248" s="4">
        <f>BA248-BK248</f>
      </c>
      <c r="BC248" s="4">
        <f>BB248-BL248</f>
      </c>
      <c r="BD248" s="4">
        <f>BC248-BM248</f>
      </c>
      <c r="BE248" s="4">
        <f>IF(G247&lt;=0,0,MIN(AU248,AK248))</f>
      </c>
      <c r="BF248" s="4">
        <f>IF(H247&lt;=0,0,MIN(AV248,AL248))</f>
      </c>
      <c r="BG248" s="4">
        <f>IF(I247&lt;=0,0,MIN(AW248,AM248))</f>
      </c>
      <c r="BH248" s="4">
        <f>IF(J247&lt;=0,0,MIN(AX248,AN248))</f>
      </c>
      <c r="BI248" s="4">
        <f>IF(K247&lt;=0,0,MIN(AY248,AO248))</f>
      </c>
      <c r="BJ248" s="4">
        <f>IF(L247&lt;=0,0,MIN(AZ248,AP248))</f>
      </c>
      <c r="BK248" s="4">
        <f>IF(M247&lt;=0,0,MIN(BA248,AQ248))</f>
      </c>
      <c r="BL248" s="4">
        <f>IF(N247&lt;=0,0,MIN(BB248,AR248))</f>
      </c>
      <c r="BM248" s="4">
        <f>IF(O247&lt;=0,0,MIN(BC248,AS248))</f>
      </c>
      <c r="BN248" s="4">
        <f>IF(P247&lt;=0,0,MIN(BD248,AT248))</f>
      </c>
    </row>
    <row r="249" spans="1:66" x14ac:dyDescent="0.25">
      <c r="A249">
        <v>222</v>
      </c>
      <c r="B249" s="7">
        <f>EDATE($B$17,222)</f>
      </c>
      <c r="C249" s="4">
        <f>SUM(G249:P249)</f>
      </c>
      <c r="D249" s="4">
        <f>SUM(Q249:Z249)</f>
      </c>
      <c r="E249" s="4">
        <f>SUM(AA249:AJ249)+SUM(BE249:BN249)</f>
      </c>
      <c r="G249" s="4">
        <f>MAX(0,AK249-BE249)</f>
      </c>
      <c r="H249" s="4">
        <f>MAX(0,AL249-BF249)</f>
      </c>
      <c r="I249" s="4">
        <f>MAX(0,AM249-BG249)</f>
      </c>
      <c r="J249" s="4">
        <f>MAX(0,AN249-BH249)</f>
      </c>
      <c r="K249" s="4">
        <f>MAX(0,AO249-BI249)</f>
      </c>
      <c r="L249" s="4">
        <f>MAX(0,AP249-BJ249)</f>
      </c>
      <c r="M249" s="4">
        <f>MAX(0,AQ249-BK249)</f>
      </c>
      <c r="N249" s="4">
        <f>MAX(0,AR249-BL249)</f>
      </c>
      <c r="O249" s="4">
        <f>MAX(0,AS249-BM249)</f>
      </c>
      <c r="P249" s="4">
        <f>MAX(0,AT249-BN249)</f>
      </c>
      <c r="Q249" s="4">
        <f>IF(G248&gt;0,G248*($J$5/100/12),0)</f>
      </c>
      <c r="R249" s="4">
        <f>IF(H248&gt;0,H248*($J$6/100/12),0)</f>
      </c>
      <c r="S249" s="4">
        <f>IF(I248&gt;0,I248*($J$7/100/12),0)</f>
      </c>
      <c r="T249" s="4">
        <f>IF(J248&gt;0,J248*($J$8/100/12),0)</f>
      </c>
      <c r="U249" s="4">
        <f>IF(K248&gt;0,K248*($J$9/100/12),0)</f>
      </c>
      <c r="V249" s="4">
        <f>IF(L248&gt;0,L248*($J$10/100/12),0)</f>
      </c>
      <c r="W249" s="4">
        <f>IF(M248&gt;0,M248*($J$11/100/12),0)</f>
      </c>
      <c r="X249" s="4">
        <f>IF(N248&gt;0,N248*($J$12/100/12),0)</f>
      </c>
      <c r="Y249" s="4">
        <f>IF(O248&gt;0,O248*($J$13/100/12),0)</f>
      </c>
      <c r="Z249" s="4">
        <f>IF(P248&gt;0,P248*($J$14/100/12),0)</f>
      </c>
      <c r="AA249" s="4">
        <f>IF(G248&lt;=0,0,MIN($K$5,(G248+Q249)))</f>
      </c>
      <c r="AB249" s="4">
        <f>IF(H248&lt;=0,0,MIN($K$6,(H248+R249)))</f>
      </c>
      <c r="AC249" s="4">
        <f>IF(I248&lt;=0,0,MIN($K$7,(I248+S249)))</f>
      </c>
      <c r="AD249" s="4">
        <f>IF(J248&lt;=0,0,MIN($K$8,(J248+T249)))</f>
      </c>
      <c r="AE249" s="4">
        <f>IF(K248&lt;=0,0,MIN($K$9,(K248+U249)))</f>
      </c>
      <c r="AF249" s="4">
        <f>IF(L248&lt;=0,0,MIN($K$10,(L248+V249)))</f>
      </c>
      <c r="AG249" s="4">
        <f>IF(M248&lt;=0,0,MIN($K$11,(M248+W249)))</f>
      </c>
      <c r="AH249" s="4">
        <f>IF(N248&lt;=0,0,MIN($K$12,(N248+X249)))</f>
      </c>
      <c r="AI249" s="4">
        <f>IF(O248&lt;=0,0,MIN($K$13,(O248+Y249)))</f>
      </c>
      <c r="AJ249" s="4">
        <f>IF(P248&lt;=0,0,MIN($K$14,(P248+Z249)))</f>
      </c>
      <c r="AK249" s="4">
        <f>(G248+Q249)-AA249</f>
      </c>
      <c r="AL249" s="4">
        <f>(H248+R249)-AB249</f>
      </c>
      <c r="AM249" s="4">
        <f>(I248+S249)-AC249</f>
      </c>
      <c r="AN249" s="4">
        <f>(J248+T249)-AD249</f>
      </c>
      <c r="AO249" s="4">
        <f>(K248+U249)-AE249</f>
      </c>
      <c r="AP249" s="4">
        <f>(L248+V249)-AF249</f>
      </c>
      <c r="AQ249" s="4">
        <f>(M248+W249)-AG249</f>
      </c>
      <c r="AR249" s="4">
        <f>(N248+X249)-AH249</f>
      </c>
      <c r="AS249" s="4">
        <f>(O248+Y249)-AI249</f>
      </c>
      <c r="AT249" s="4">
        <f>(P248+Z249)-AJ249</f>
      </c>
      <c r="AU249" s="4">
        <f>$B$16+SUM($K$5:$K$14)-SUM(AA249:AJ249)</f>
      </c>
      <c r="AV249" s="4">
        <f>AU249-BE249</f>
      </c>
      <c r="AW249" s="4">
        <f>AV249-BF249</f>
      </c>
      <c r="AX249" s="4">
        <f>AW249-BG249</f>
      </c>
      <c r="AY249" s="4">
        <f>AX249-BH249</f>
      </c>
      <c r="AZ249" s="4">
        <f>AY249-BI249</f>
      </c>
      <c r="BA249" s="4">
        <f>AZ249-BJ249</f>
      </c>
      <c r="BB249" s="4">
        <f>BA249-BK249</f>
      </c>
      <c r="BC249" s="4">
        <f>BB249-BL249</f>
      </c>
      <c r="BD249" s="4">
        <f>BC249-BM249</f>
      </c>
      <c r="BE249" s="4">
        <f>IF(G248&lt;=0,0,MIN(AU249,AK249))</f>
      </c>
      <c r="BF249" s="4">
        <f>IF(H248&lt;=0,0,MIN(AV249,AL249))</f>
      </c>
      <c r="BG249" s="4">
        <f>IF(I248&lt;=0,0,MIN(AW249,AM249))</f>
      </c>
      <c r="BH249" s="4">
        <f>IF(J248&lt;=0,0,MIN(AX249,AN249))</f>
      </c>
      <c r="BI249" s="4">
        <f>IF(K248&lt;=0,0,MIN(AY249,AO249))</f>
      </c>
      <c r="BJ249" s="4">
        <f>IF(L248&lt;=0,0,MIN(AZ249,AP249))</f>
      </c>
      <c r="BK249" s="4">
        <f>IF(M248&lt;=0,0,MIN(BA249,AQ249))</f>
      </c>
      <c r="BL249" s="4">
        <f>IF(N248&lt;=0,0,MIN(BB249,AR249))</f>
      </c>
      <c r="BM249" s="4">
        <f>IF(O248&lt;=0,0,MIN(BC249,AS249))</f>
      </c>
      <c r="BN249" s="4">
        <f>IF(P248&lt;=0,0,MIN(BD249,AT249))</f>
      </c>
    </row>
    <row r="250" spans="1:66" x14ac:dyDescent="0.25">
      <c r="A250">
        <v>223</v>
      </c>
      <c r="B250" s="7">
        <f>EDATE($B$17,223)</f>
      </c>
      <c r="C250" s="4">
        <f>SUM(G250:P250)</f>
      </c>
      <c r="D250" s="4">
        <f>SUM(Q250:Z250)</f>
      </c>
      <c r="E250" s="4">
        <f>SUM(AA250:AJ250)+SUM(BE250:BN250)</f>
      </c>
      <c r="G250" s="4">
        <f>MAX(0,AK250-BE250)</f>
      </c>
      <c r="H250" s="4">
        <f>MAX(0,AL250-BF250)</f>
      </c>
      <c r="I250" s="4">
        <f>MAX(0,AM250-BG250)</f>
      </c>
      <c r="J250" s="4">
        <f>MAX(0,AN250-BH250)</f>
      </c>
      <c r="K250" s="4">
        <f>MAX(0,AO250-BI250)</f>
      </c>
      <c r="L250" s="4">
        <f>MAX(0,AP250-BJ250)</f>
      </c>
      <c r="M250" s="4">
        <f>MAX(0,AQ250-BK250)</f>
      </c>
      <c r="N250" s="4">
        <f>MAX(0,AR250-BL250)</f>
      </c>
      <c r="O250" s="4">
        <f>MAX(0,AS250-BM250)</f>
      </c>
      <c r="P250" s="4">
        <f>MAX(0,AT250-BN250)</f>
      </c>
      <c r="Q250" s="4">
        <f>IF(G249&gt;0,G249*($J$5/100/12),0)</f>
      </c>
      <c r="R250" s="4">
        <f>IF(H249&gt;0,H249*($J$6/100/12),0)</f>
      </c>
      <c r="S250" s="4">
        <f>IF(I249&gt;0,I249*($J$7/100/12),0)</f>
      </c>
      <c r="T250" s="4">
        <f>IF(J249&gt;0,J249*($J$8/100/12),0)</f>
      </c>
      <c r="U250" s="4">
        <f>IF(K249&gt;0,K249*($J$9/100/12),0)</f>
      </c>
      <c r="V250" s="4">
        <f>IF(L249&gt;0,L249*($J$10/100/12),0)</f>
      </c>
      <c r="W250" s="4">
        <f>IF(M249&gt;0,M249*($J$11/100/12),0)</f>
      </c>
      <c r="X250" s="4">
        <f>IF(N249&gt;0,N249*($J$12/100/12),0)</f>
      </c>
      <c r="Y250" s="4">
        <f>IF(O249&gt;0,O249*($J$13/100/12),0)</f>
      </c>
      <c r="Z250" s="4">
        <f>IF(P249&gt;0,P249*($J$14/100/12),0)</f>
      </c>
      <c r="AA250" s="4">
        <f>IF(G249&lt;=0,0,MIN($K$5,(G249+Q250)))</f>
      </c>
      <c r="AB250" s="4">
        <f>IF(H249&lt;=0,0,MIN($K$6,(H249+R250)))</f>
      </c>
      <c r="AC250" s="4">
        <f>IF(I249&lt;=0,0,MIN($K$7,(I249+S250)))</f>
      </c>
      <c r="AD250" s="4">
        <f>IF(J249&lt;=0,0,MIN($K$8,(J249+T250)))</f>
      </c>
      <c r="AE250" s="4">
        <f>IF(K249&lt;=0,0,MIN($K$9,(K249+U250)))</f>
      </c>
      <c r="AF250" s="4">
        <f>IF(L249&lt;=0,0,MIN($K$10,(L249+V250)))</f>
      </c>
      <c r="AG250" s="4">
        <f>IF(M249&lt;=0,0,MIN($K$11,(M249+W250)))</f>
      </c>
      <c r="AH250" s="4">
        <f>IF(N249&lt;=0,0,MIN($K$12,(N249+X250)))</f>
      </c>
      <c r="AI250" s="4">
        <f>IF(O249&lt;=0,0,MIN($K$13,(O249+Y250)))</f>
      </c>
      <c r="AJ250" s="4">
        <f>IF(P249&lt;=0,0,MIN($K$14,(P249+Z250)))</f>
      </c>
      <c r="AK250" s="4">
        <f>(G249+Q250)-AA250</f>
      </c>
      <c r="AL250" s="4">
        <f>(H249+R250)-AB250</f>
      </c>
      <c r="AM250" s="4">
        <f>(I249+S250)-AC250</f>
      </c>
      <c r="AN250" s="4">
        <f>(J249+T250)-AD250</f>
      </c>
      <c r="AO250" s="4">
        <f>(K249+U250)-AE250</f>
      </c>
      <c r="AP250" s="4">
        <f>(L249+V250)-AF250</f>
      </c>
      <c r="AQ250" s="4">
        <f>(M249+W250)-AG250</f>
      </c>
      <c r="AR250" s="4">
        <f>(N249+X250)-AH250</f>
      </c>
      <c r="AS250" s="4">
        <f>(O249+Y250)-AI250</f>
      </c>
      <c r="AT250" s="4">
        <f>(P249+Z250)-AJ250</f>
      </c>
      <c r="AU250" s="4">
        <f>$B$16+SUM($K$5:$K$14)-SUM(AA250:AJ250)</f>
      </c>
      <c r="AV250" s="4">
        <f>AU250-BE250</f>
      </c>
      <c r="AW250" s="4">
        <f>AV250-BF250</f>
      </c>
      <c r="AX250" s="4">
        <f>AW250-BG250</f>
      </c>
      <c r="AY250" s="4">
        <f>AX250-BH250</f>
      </c>
      <c r="AZ250" s="4">
        <f>AY250-BI250</f>
      </c>
      <c r="BA250" s="4">
        <f>AZ250-BJ250</f>
      </c>
      <c r="BB250" s="4">
        <f>BA250-BK250</f>
      </c>
      <c r="BC250" s="4">
        <f>BB250-BL250</f>
      </c>
      <c r="BD250" s="4">
        <f>BC250-BM250</f>
      </c>
      <c r="BE250" s="4">
        <f>IF(G249&lt;=0,0,MIN(AU250,AK250))</f>
      </c>
      <c r="BF250" s="4">
        <f>IF(H249&lt;=0,0,MIN(AV250,AL250))</f>
      </c>
      <c r="BG250" s="4">
        <f>IF(I249&lt;=0,0,MIN(AW250,AM250))</f>
      </c>
      <c r="BH250" s="4">
        <f>IF(J249&lt;=0,0,MIN(AX250,AN250))</f>
      </c>
      <c r="BI250" s="4">
        <f>IF(K249&lt;=0,0,MIN(AY250,AO250))</f>
      </c>
      <c r="BJ250" s="4">
        <f>IF(L249&lt;=0,0,MIN(AZ250,AP250))</f>
      </c>
      <c r="BK250" s="4">
        <f>IF(M249&lt;=0,0,MIN(BA250,AQ250))</f>
      </c>
      <c r="BL250" s="4">
        <f>IF(N249&lt;=0,0,MIN(BB250,AR250))</f>
      </c>
      <c r="BM250" s="4">
        <f>IF(O249&lt;=0,0,MIN(BC250,AS250))</f>
      </c>
      <c r="BN250" s="4">
        <f>IF(P249&lt;=0,0,MIN(BD250,AT250))</f>
      </c>
    </row>
    <row r="251" spans="1:66" x14ac:dyDescent="0.25">
      <c r="A251">
        <v>224</v>
      </c>
      <c r="B251" s="7">
        <f>EDATE($B$17,224)</f>
      </c>
      <c r="C251" s="4">
        <f>SUM(G251:P251)</f>
      </c>
      <c r="D251" s="4">
        <f>SUM(Q251:Z251)</f>
      </c>
      <c r="E251" s="4">
        <f>SUM(AA251:AJ251)+SUM(BE251:BN251)</f>
      </c>
      <c r="G251" s="4">
        <f>MAX(0,AK251-BE251)</f>
      </c>
      <c r="H251" s="4">
        <f>MAX(0,AL251-BF251)</f>
      </c>
      <c r="I251" s="4">
        <f>MAX(0,AM251-BG251)</f>
      </c>
      <c r="J251" s="4">
        <f>MAX(0,AN251-BH251)</f>
      </c>
      <c r="K251" s="4">
        <f>MAX(0,AO251-BI251)</f>
      </c>
      <c r="L251" s="4">
        <f>MAX(0,AP251-BJ251)</f>
      </c>
      <c r="M251" s="4">
        <f>MAX(0,AQ251-BK251)</f>
      </c>
      <c r="N251" s="4">
        <f>MAX(0,AR251-BL251)</f>
      </c>
      <c r="O251" s="4">
        <f>MAX(0,AS251-BM251)</f>
      </c>
      <c r="P251" s="4">
        <f>MAX(0,AT251-BN251)</f>
      </c>
      <c r="Q251" s="4">
        <f>IF(G250&gt;0,G250*($J$5/100/12),0)</f>
      </c>
      <c r="R251" s="4">
        <f>IF(H250&gt;0,H250*($J$6/100/12),0)</f>
      </c>
      <c r="S251" s="4">
        <f>IF(I250&gt;0,I250*($J$7/100/12),0)</f>
      </c>
      <c r="T251" s="4">
        <f>IF(J250&gt;0,J250*($J$8/100/12),0)</f>
      </c>
      <c r="U251" s="4">
        <f>IF(K250&gt;0,K250*($J$9/100/12),0)</f>
      </c>
      <c r="V251" s="4">
        <f>IF(L250&gt;0,L250*($J$10/100/12),0)</f>
      </c>
      <c r="W251" s="4">
        <f>IF(M250&gt;0,M250*($J$11/100/12),0)</f>
      </c>
      <c r="X251" s="4">
        <f>IF(N250&gt;0,N250*($J$12/100/12),0)</f>
      </c>
      <c r="Y251" s="4">
        <f>IF(O250&gt;0,O250*($J$13/100/12),0)</f>
      </c>
      <c r="Z251" s="4">
        <f>IF(P250&gt;0,P250*($J$14/100/12),0)</f>
      </c>
      <c r="AA251" s="4">
        <f>IF(G250&lt;=0,0,MIN($K$5,(G250+Q251)))</f>
      </c>
      <c r="AB251" s="4">
        <f>IF(H250&lt;=0,0,MIN($K$6,(H250+R251)))</f>
      </c>
      <c r="AC251" s="4">
        <f>IF(I250&lt;=0,0,MIN($K$7,(I250+S251)))</f>
      </c>
      <c r="AD251" s="4">
        <f>IF(J250&lt;=0,0,MIN($K$8,(J250+T251)))</f>
      </c>
      <c r="AE251" s="4">
        <f>IF(K250&lt;=0,0,MIN($K$9,(K250+U251)))</f>
      </c>
      <c r="AF251" s="4">
        <f>IF(L250&lt;=0,0,MIN($K$10,(L250+V251)))</f>
      </c>
      <c r="AG251" s="4">
        <f>IF(M250&lt;=0,0,MIN($K$11,(M250+W251)))</f>
      </c>
      <c r="AH251" s="4">
        <f>IF(N250&lt;=0,0,MIN($K$12,(N250+X251)))</f>
      </c>
      <c r="AI251" s="4">
        <f>IF(O250&lt;=0,0,MIN($K$13,(O250+Y251)))</f>
      </c>
      <c r="AJ251" s="4">
        <f>IF(P250&lt;=0,0,MIN($K$14,(P250+Z251)))</f>
      </c>
      <c r="AK251" s="4">
        <f>(G250+Q251)-AA251</f>
      </c>
      <c r="AL251" s="4">
        <f>(H250+R251)-AB251</f>
      </c>
      <c r="AM251" s="4">
        <f>(I250+S251)-AC251</f>
      </c>
      <c r="AN251" s="4">
        <f>(J250+T251)-AD251</f>
      </c>
      <c r="AO251" s="4">
        <f>(K250+U251)-AE251</f>
      </c>
      <c r="AP251" s="4">
        <f>(L250+V251)-AF251</f>
      </c>
      <c r="AQ251" s="4">
        <f>(M250+W251)-AG251</f>
      </c>
      <c r="AR251" s="4">
        <f>(N250+X251)-AH251</f>
      </c>
      <c r="AS251" s="4">
        <f>(O250+Y251)-AI251</f>
      </c>
      <c r="AT251" s="4">
        <f>(P250+Z251)-AJ251</f>
      </c>
      <c r="AU251" s="4">
        <f>$B$16+SUM($K$5:$K$14)-SUM(AA251:AJ251)</f>
      </c>
      <c r="AV251" s="4">
        <f>AU251-BE251</f>
      </c>
      <c r="AW251" s="4">
        <f>AV251-BF251</f>
      </c>
      <c r="AX251" s="4">
        <f>AW251-BG251</f>
      </c>
      <c r="AY251" s="4">
        <f>AX251-BH251</f>
      </c>
      <c r="AZ251" s="4">
        <f>AY251-BI251</f>
      </c>
      <c r="BA251" s="4">
        <f>AZ251-BJ251</f>
      </c>
      <c r="BB251" s="4">
        <f>BA251-BK251</f>
      </c>
      <c r="BC251" s="4">
        <f>BB251-BL251</f>
      </c>
      <c r="BD251" s="4">
        <f>BC251-BM251</f>
      </c>
      <c r="BE251" s="4">
        <f>IF(G250&lt;=0,0,MIN(AU251,AK251))</f>
      </c>
      <c r="BF251" s="4">
        <f>IF(H250&lt;=0,0,MIN(AV251,AL251))</f>
      </c>
      <c r="BG251" s="4">
        <f>IF(I250&lt;=0,0,MIN(AW251,AM251))</f>
      </c>
      <c r="BH251" s="4">
        <f>IF(J250&lt;=0,0,MIN(AX251,AN251))</f>
      </c>
      <c r="BI251" s="4">
        <f>IF(K250&lt;=0,0,MIN(AY251,AO251))</f>
      </c>
      <c r="BJ251" s="4">
        <f>IF(L250&lt;=0,0,MIN(AZ251,AP251))</f>
      </c>
      <c r="BK251" s="4">
        <f>IF(M250&lt;=0,0,MIN(BA251,AQ251))</f>
      </c>
      <c r="BL251" s="4">
        <f>IF(N250&lt;=0,0,MIN(BB251,AR251))</f>
      </c>
      <c r="BM251" s="4">
        <f>IF(O250&lt;=0,0,MIN(BC251,AS251))</f>
      </c>
      <c r="BN251" s="4">
        <f>IF(P250&lt;=0,0,MIN(BD251,AT251))</f>
      </c>
    </row>
    <row r="252" spans="1:66" x14ac:dyDescent="0.25">
      <c r="A252">
        <v>225</v>
      </c>
      <c r="B252" s="7">
        <f>EDATE($B$17,225)</f>
      </c>
      <c r="C252" s="4">
        <f>SUM(G252:P252)</f>
      </c>
      <c r="D252" s="4">
        <f>SUM(Q252:Z252)</f>
      </c>
      <c r="E252" s="4">
        <f>SUM(AA252:AJ252)+SUM(BE252:BN252)</f>
      </c>
      <c r="G252" s="4">
        <f>MAX(0,AK252-BE252)</f>
      </c>
      <c r="H252" s="4">
        <f>MAX(0,AL252-BF252)</f>
      </c>
      <c r="I252" s="4">
        <f>MAX(0,AM252-BG252)</f>
      </c>
      <c r="J252" s="4">
        <f>MAX(0,AN252-BH252)</f>
      </c>
      <c r="K252" s="4">
        <f>MAX(0,AO252-BI252)</f>
      </c>
      <c r="L252" s="4">
        <f>MAX(0,AP252-BJ252)</f>
      </c>
      <c r="M252" s="4">
        <f>MAX(0,AQ252-BK252)</f>
      </c>
      <c r="N252" s="4">
        <f>MAX(0,AR252-BL252)</f>
      </c>
      <c r="O252" s="4">
        <f>MAX(0,AS252-BM252)</f>
      </c>
      <c r="P252" s="4">
        <f>MAX(0,AT252-BN252)</f>
      </c>
      <c r="Q252" s="4">
        <f>IF(G251&gt;0,G251*($J$5/100/12),0)</f>
      </c>
      <c r="R252" s="4">
        <f>IF(H251&gt;0,H251*($J$6/100/12),0)</f>
      </c>
      <c r="S252" s="4">
        <f>IF(I251&gt;0,I251*($J$7/100/12),0)</f>
      </c>
      <c r="T252" s="4">
        <f>IF(J251&gt;0,J251*($J$8/100/12),0)</f>
      </c>
      <c r="U252" s="4">
        <f>IF(K251&gt;0,K251*($J$9/100/12),0)</f>
      </c>
      <c r="V252" s="4">
        <f>IF(L251&gt;0,L251*($J$10/100/12),0)</f>
      </c>
      <c r="W252" s="4">
        <f>IF(M251&gt;0,M251*($J$11/100/12),0)</f>
      </c>
      <c r="X252" s="4">
        <f>IF(N251&gt;0,N251*($J$12/100/12),0)</f>
      </c>
      <c r="Y252" s="4">
        <f>IF(O251&gt;0,O251*($J$13/100/12),0)</f>
      </c>
      <c r="Z252" s="4">
        <f>IF(P251&gt;0,P251*($J$14/100/12),0)</f>
      </c>
      <c r="AA252" s="4">
        <f>IF(G251&lt;=0,0,MIN($K$5,(G251+Q252)))</f>
      </c>
      <c r="AB252" s="4">
        <f>IF(H251&lt;=0,0,MIN($K$6,(H251+R252)))</f>
      </c>
      <c r="AC252" s="4">
        <f>IF(I251&lt;=0,0,MIN($K$7,(I251+S252)))</f>
      </c>
      <c r="AD252" s="4">
        <f>IF(J251&lt;=0,0,MIN($K$8,(J251+T252)))</f>
      </c>
      <c r="AE252" s="4">
        <f>IF(K251&lt;=0,0,MIN($K$9,(K251+U252)))</f>
      </c>
      <c r="AF252" s="4">
        <f>IF(L251&lt;=0,0,MIN($K$10,(L251+V252)))</f>
      </c>
      <c r="AG252" s="4">
        <f>IF(M251&lt;=0,0,MIN($K$11,(M251+W252)))</f>
      </c>
      <c r="AH252" s="4">
        <f>IF(N251&lt;=0,0,MIN($K$12,(N251+X252)))</f>
      </c>
      <c r="AI252" s="4">
        <f>IF(O251&lt;=0,0,MIN($K$13,(O251+Y252)))</f>
      </c>
      <c r="AJ252" s="4">
        <f>IF(P251&lt;=0,0,MIN($K$14,(P251+Z252)))</f>
      </c>
      <c r="AK252" s="4">
        <f>(G251+Q252)-AA252</f>
      </c>
      <c r="AL252" s="4">
        <f>(H251+R252)-AB252</f>
      </c>
      <c r="AM252" s="4">
        <f>(I251+S252)-AC252</f>
      </c>
      <c r="AN252" s="4">
        <f>(J251+T252)-AD252</f>
      </c>
      <c r="AO252" s="4">
        <f>(K251+U252)-AE252</f>
      </c>
      <c r="AP252" s="4">
        <f>(L251+V252)-AF252</f>
      </c>
      <c r="AQ252" s="4">
        <f>(M251+W252)-AG252</f>
      </c>
      <c r="AR252" s="4">
        <f>(N251+X252)-AH252</f>
      </c>
      <c r="AS252" s="4">
        <f>(O251+Y252)-AI252</f>
      </c>
      <c r="AT252" s="4">
        <f>(P251+Z252)-AJ252</f>
      </c>
      <c r="AU252" s="4">
        <f>$B$16+SUM($K$5:$K$14)-SUM(AA252:AJ252)</f>
      </c>
      <c r="AV252" s="4">
        <f>AU252-BE252</f>
      </c>
      <c r="AW252" s="4">
        <f>AV252-BF252</f>
      </c>
      <c r="AX252" s="4">
        <f>AW252-BG252</f>
      </c>
      <c r="AY252" s="4">
        <f>AX252-BH252</f>
      </c>
      <c r="AZ252" s="4">
        <f>AY252-BI252</f>
      </c>
      <c r="BA252" s="4">
        <f>AZ252-BJ252</f>
      </c>
      <c r="BB252" s="4">
        <f>BA252-BK252</f>
      </c>
      <c r="BC252" s="4">
        <f>BB252-BL252</f>
      </c>
      <c r="BD252" s="4">
        <f>BC252-BM252</f>
      </c>
      <c r="BE252" s="4">
        <f>IF(G251&lt;=0,0,MIN(AU252,AK252))</f>
      </c>
      <c r="BF252" s="4">
        <f>IF(H251&lt;=0,0,MIN(AV252,AL252))</f>
      </c>
      <c r="BG252" s="4">
        <f>IF(I251&lt;=0,0,MIN(AW252,AM252))</f>
      </c>
      <c r="BH252" s="4">
        <f>IF(J251&lt;=0,0,MIN(AX252,AN252))</f>
      </c>
      <c r="BI252" s="4">
        <f>IF(K251&lt;=0,0,MIN(AY252,AO252))</f>
      </c>
      <c r="BJ252" s="4">
        <f>IF(L251&lt;=0,0,MIN(AZ252,AP252))</f>
      </c>
      <c r="BK252" s="4">
        <f>IF(M251&lt;=0,0,MIN(BA252,AQ252))</f>
      </c>
      <c r="BL252" s="4">
        <f>IF(N251&lt;=0,0,MIN(BB252,AR252))</f>
      </c>
      <c r="BM252" s="4">
        <f>IF(O251&lt;=0,0,MIN(BC252,AS252))</f>
      </c>
      <c r="BN252" s="4">
        <f>IF(P251&lt;=0,0,MIN(BD252,AT252))</f>
      </c>
    </row>
    <row r="253" spans="1:66" x14ac:dyDescent="0.25">
      <c r="A253">
        <v>226</v>
      </c>
      <c r="B253" s="7">
        <f>EDATE($B$17,226)</f>
      </c>
      <c r="C253" s="4">
        <f>SUM(G253:P253)</f>
      </c>
      <c r="D253" s="4">
        <f>SUM(Q253:Z253)</f>
      </c>
      <c r="E253" s="4">
        <f>SUM(AA253:AJ253)+SUM(BE253:BN253)</f>
      </c>
      <c r="G253" s="4">
        <f>MAX(0,AK253-BE253)</f>
      </c>
      <c r="H253" s="4">
        <f>MAX(0,AL253-BF253)</f>
      </c>
      <c r="I253" s="4">
        <f>MAX(0,AM253-BG253)</f>
      </c>
      <c r="J253" s="4">
        <f>MAX(0,AN253-BH253)</f>
      </c>
      <c r="K253" s="4">
        <f>MAX(0,AO253-BI253)</f>
      </c>
      <c r="L253" s="4">
        <f>MAX(0,AP253-BJ253)</f>
      </c>
      <c r="M253" s="4">
        <f>MAX(0,AQ253-BK253)</f>
      </c>
      <c r="N253" s="4">
        <f>MAX(0,AR253-BL253)</f>
      </c>
      <c r="O253" s="4">
        <f>MAX(0,AS253-BM253)</f>
      </c>
      <c r="P253" s="4">
        <f>MAX(0,AT253-BN253)</f>
      </c>
      <c r="Q253" s="4">
        <f>IF(G252&gt;0,G252*($J$5/100/12),0)</f>
      </c>
      <c r="R253" s="4">
        <f>IF(H252&gt;0,H252*($J$6/100/12),0)</f>
      </c>
      <c r="S253" s="4">
        <f>IF(I252&gt;0,I252*($J$7/100/12),0)</f>
      </c>
      <c r="T253" s="4">
        <f>IF(J252&gt;0,J252*($J$8/100/12),0)</f>
      </c>
      <c r="U253" s="4">
        <f>IF(K252&gt;0,K252*($J$9/100/12),0)</f>
      </c>
      <c r="V253" s="4">
        <f>IF(L252&gt;0,L252*($J$10/100/12),0)</f>
      </c>
      <c r="W253" s="4">
        <f>IF(M252&gt;0,M252*($J$11/100/12),0)</f>
      </c>
      <c r="X253" s="4">
        <f>IF(N252&gt;0,N252*($J$12/100/12),0)</f>
      </c>
      <c r="Y253" s="4">
        <f>IF(O252&gt;0,O252*($J$13/100/12),0)</f>
      </c>
      <c r="Z253" s="4">
        <f>IF(P252&gt;0,P252*($J$14/100/12),0)</f>
      </c>
      <c r="AA253" s="4">
        <f>IF(G252&lt;=0,0,MIN($K$5,(G252+Q253)))</f>
      </c>
      <c r="AB253" s="4">
        <f>IF(H252&lt;=0,0,MIN($K$6,(H252+R253)))</f>
      </c>
      <c r="AC253" s="4">
        <f>IF(I252&lt;=0,0,MIN($K$7,(I252+S253)))</f>
      </c>
      <c r="AD253" s="4">
        <f>IF(J252&lt;=0,0,MIN($K$8,(J252+T253)))</f>
      </c>
      <c r="AE253" s="4">
        <f>IF(K252&lt;=0,0,MIN($K$9,(K252+U253)))</f>
      </c>
      <c r="AF253" s="4">
        <f>IF(L252&lt;=0,0,MIN($K$10,(L252+V253)))</f>
      </c>
      <c r="AG253" s="4">
        <f>IF(M252&lt;=0,0,MIN($K$11,(M252+W253)))</f>
      </c>
      <c r="AH253" s="4">
        <f>IF(N252&lt;=0,0,MIN($K$12,(N252+X253)))</f>
      </c>
      <c r="AI253" s="4">
        <f>IF(O252&lt;=0,0,MIN($K$13,(O252+Y253)))</f>
      </c>
      <c r="AJ253" s="4">
        <f>IF(P252&lt;=0,0,MIN($K$14,(P252+Z253)))</f>
      </c>
      <c r="AK253" s="4">
        <f>(G252+Q253)-AA253</f>
      </c>
      <c r="AL253" s="4">
        <f>(H252+R253)-AB253</f>
      </c>
      <c r="AM253" s="4">
        <f>(I252+S253)-AC253</f>
      </c>
      <c r="AN253" s="4">
        <f>(J252+T253)-AD253</f>
      </c>
      <c r="AO253" s="4">
        <f>(K252+U253)-AE253</f>
      </c>
      <c r="AP253" s="4">
        <f>(L252+V253)-AF253</f>
      </c>
      <c r="AQ253" s="4">
        <f>(M252+W253)-AG253</f>
      </c>
      <c r="AR253" s="4">
        <f>(N252+X253)-AH253</f>
      </c>
      <c r="AS253" s="4">
        <f>(O252+Y253)-AI253</f>
      </c>
      <c r="AT253" s="4">
        <f>(P252+Z253)-AJ253</f>
      </c>
      <c r="AU253" s="4">
        <f>$B$16+SUM($K$5:$K$14)-SUM(AA253:AJ253)</f>
      </c>
      <c r="AV253" s="4">
        <f>AU253-BE253</f>
      </c>
      <c r="AW253" s="4">
        <f>AV253-BF253</f>
      </c>
      <c r="AX253" s="4">
        <f>AW253-BG253</f>
      </c>
      <c r="AY253" s="4">
        <f>AX253-BH253</f>
      </c>
      <c r="AZ253" s="4">
        <f>AY253-BI253</f>
      </c>
      <c r="BA253" s="4">
        <f>AZ253-BJ253</f>
      </c>
      <c r="BB253" s="4">
        <f>BA253-BK253</f>
      </c>
      <c r="BC253" s="4">
        <f>BB253-BL253</f>
      </c>
      <c r="BD253" s="4">
        <f>BC253-BM253</f>
      </c>
      <c r="BE253" s="4">
        <f>IF(G252&lt;=0,0,MIN(AU253,AK253))</f>
      </c>
      <c r="BF253" s="4">
        <f>IF(H252&lt;=0,0,MIN(AV253,AL253))</f>
      </c>
      <c r="BG253" s="4">
        <f>IF(I252&lt;=0,0,MIN(AW253,AM253))</f>
      </c>
      <c r="BH253" s="4">
        <f>IF(J252&lt;=0,0,MIN(AX253,AN253))</f>
      </c>
      <c r="BI253" s="4">
        <f>IF(K252&lt;=0,0,MIN(AY253,AO253))</f>
      </c>
      <c r="BJ253" s="4">
        <f>IF(L252&lt;=0,0,MIN(AZ253,AP253))</f>
      </c>
      <c r="BK253" s="4">
        <f>IF(M252&lt;=0,0,MIN(BA253,AQ253))</f>
      </c>
      <c r="BL253" s="4">
        <f>IF(N252&lt;=0,0,MIN(BB253,AR253))</f>
      </c>
      <c r="BM253" s="4">
        <f>IF(O252&lt;=0,0,MIN(BC253,AS253))</f>
      </c>
      <c r="BN253" s="4">
        <f>IF(P252&lt;=0,0,MIN(BD253,AT253))</f>
      </c>
    </row>
    <row r="254" spans="1:66" x14ac:dyDescent="0.25">
      <c r="A254">
        <v>227</v>
      </c>
      <c r="B254" s="7">
        <f>EDATE($B$17,227)</f>
      </c>
      <c r="C254" s="4">
        <f>SUM(G254:P254)</f>
      </c>
      <c r="D254" s="4">
        <f>SUM(Q254:Z254)</f>
      </c>
      <c r="E254" s="4">
        <f>SUM(AA254:AJ254)+SUM(BE254:BN254)</f>
      </c>
      <c r="G254" s="4">
        <f>MAX(0,AK254-BE254)</f>
      </c>
      <c r="H254" s="4">
        <f>MAX(0,AL254-BF254)</f>
      </c>
      <c r="I254" s="4">
        <f>MAX(0,AM254-BG254)</f>
      </c>
      <c r="J254" s="4">
        <f>MAX(0,AN254-BH254)</f>
      </c>
      <c r="K254" s="4">
        <f>MAX(0,AO254-BI254)</f>
      </c>
      <c r="L254" s="4">
        <f>MAX(0,AP254-BJ254)</f>
      </c>
      <c r="M254" s="4">
        <f>MAX(0,AQ254-BK254)</f>
      </c>
      <c r="N254" s="4">
        <f>MAX(0,AR254-BL254)</f>
      </c>
      <c r="O254" s="4">
        <f>MAX(0,AS254-BM254)</f>
      </c>
      <c r="P254" s="4">
        <f>MAX(0,AT254-BN254)</f>
      </c>
      <c r="Q254" s="4">
        <f>IF(G253&gt;0,G253*($J$5/100/12),0)</f>
      </c>
      <c r="R254" s="4">
        <f>IF(H253&gt;0,H253*($J$6/100/12),0)</f>
      </c>
      <c r="S254" s="4">
        <f>IF(I253&gt;0,I253*($J$7/100/12),0)</f>
      </c>
      <c r="T254" s="4">
        <f>IF(J253&gt;0,J253*($J$8/100/12),0)</f>
      </c>
      <c r="U254" s="4">
        <f>IF(K253&gt;0,K253*($J$9/100/12),0)</f>
      </c>
      <c r="V254" s="4">
        <f>IF(L253&gt;0,L253*($J$10/100/12),0)</f>
      </c>
      <c r="W254" s="4">
        <f>IF(M253&gt;0,M253*($J$11/100/12),0)</f>
      </c>
      <c r="X254" s="4">
        <f>IF(N253&gt;0,N253*($J$12/100/12),0)</f>
      </c>
      <c r="Y254" s="4">
        <f>IF(O253&gt;0,O253*($J$13/100/12),0)</f>
      </c>
      <c r="Z254" s="4">
        <f>IF(P253&gt;0,P253*($J$14/100/12),0)</f>
      </c>
      <c r="AA254" s="4">
        <f>IF(G253&lt;=0,0,MIN($K$5,(G253+Q254)))</f>
      </c>
      <c r="AB254" s="4">
        <f>IF(H253&lt;=0,0,MIN($K$6,(H253+R254)))</f>
      </c>
      <c r="AC254" s="4">
        <f>IF(I253&lt;=0,0,MIN($K$7,(I253+S254)))</f>
      </c>
      <c r="AD254" s="4">
        <f>IF(J253&lt;=0,0,MIN($K$8,(J253+T254)))</f>
      </c>
      <c r="AE254" s="4">
        <f>IF(K253&lt;=0,0,MIN($K$9,(K253+U254)))</f>
      </c>
      <c r="AF254" s="4">
        <f>IF(L253&lt;=0,0,MIN($K$10,(L253+V254)))</f>
      </c>
      <c r="AG254" s="4">
        <f>IF(M253&lt;=0,0,MIN($K$11,(M253+W254)))</f>
      </c>
      <c r="AH254" s="4">
        <f>IF(N253&lt;=0,0,MIN($K$12,(N253+X254)))</f>
      </c>
      <c r="AI254" s="4">
        <f>IF(O253&lt;=0,0,MIN($K$13,(O253+Y254)))</f>
      </c>
      <c r="AJ254" s="4">
        <f>IF(P253&lt;=0,0,MIN($K$14,(P253+Z254)))</f>
      </c>
      <c r="AK254" s="4">
        <f>(G253+Q254)-AA254</f>
      </c>
      <c r="AL254" s="4">
        <f>(H253+R254)-AB254</f>
      </c>
      <c r="AM254" s="4">
        <f>(I253+S254)-AC254</f>
      </c>
      <c r="AN254" s="4">
        <f>(J253+T254)-AD254</f>
      </c>
      <c r="AO254" s="4">
        <f>(K253+U254)-AE254</f>
      </c>
      <c r="AP254" s="4">
        <f>(L253+V254)-AF254</f>
      </c>
      <c r="AQ254" s="4">
        <f>(M253+W254)-AG254</f>
      </c>
      <c r="AR254" s="4">
        <f>(N253+X254)-AH254</f>
      </c>
      <c r="AS254" s="4">
        <f>(O253+Y254)-AI254</f>
      </c>
      <c r="AT254" s="4">
        <f>(P253+Z254)-AJ254</f>
      </c>
      <c r="AU254" s="4">
        <f>$B$16+SUM($K$5:$K$14)-SUM(AA254:AJ254)</f>
      </c>
      <c r="AV254" s="4">
        <f>AU254-BE254</f>
      </c>
      <c r="AW254" s="4">
        <f>AV254-BF254</f>
      </c>
      <c r="AX254" s="4">
        <f>AW254-BG254</f>
      </c>
      <c r="AY254" s="4">
        <f>AX254-BH254</f>
      </c>
      <c r="AZ254" s="4">
        <f>AY254-BI254</f>
      </c>
      <c r="BA254" s="4">
        <f>AZ254-BJ254</f>
      </c>
      <c r="BB254" s="4">
        <f>BA254-BK254</f>
      </c>
      <c r="BC254" s="4">
        <f>BB254-BL254</f>
      </c>
      <c r="BD254" s="4">
        <f>BC254-BM254</f>
      </c>
      <c r="BE254" s="4">
        <f>IF(G253&lt;=0,0,MIN(AU254,AK254))</f>
      </c>
      <c r="BF254" s="4">
        <f>IF(H253&lt;=0,0,MIN(AV254,AL254))</f>
      </c>
      <c r="BG254" s="4">
        <f>IF(I253&lt;=0,0,MIN(AW254,AM254))</f>
      </c>
      <c r="BH254" s="4">
        <f>IF(J253&lt;=0,0,MIN(AX254,AN254))</f>
      </c>
      <c r="BI254" s="4">
        <f>IF(K253&lt;=0,0,MIN(AY254,AO254))</f>
      </c>
      <c r="BJ254" s="4">
        <f>IF(L253&lt;=0,0,MIN(AZ254,AP254))</f>
      </c>
      <c r="BK254" s="4">
        <f>IF(M253&lt;=0,0,MIN(BA254,AQ254))</f>
      </c>
      <c r="BL254" s="4">
        <f>IF(N253&lt;=0,0,MIN(BB254,AR254))</f>
      </c>
      <c r="BM254" s="4">
        <f>IF(O253&lt;=0,0,MIN(BC254,AS254))</f>
      </c>
      <c r="BN254" s="4">
        <f>IF(P253&lt;=0,0,MIN(BD254,AT254))</f>
      </c>
    </row>
    <row r="255" spans="1:66" x14ac:dyDescent="0.25">
      <c r="A255">
        <v>228</v>
      </c>
      <c r="B255" s="7">
        <f>EDATE($B$17,228)</f>
      </c>
      <c r="C255" s="4">
        <f>SUM(G255:P255)</f>
      </c>
      <c r="D255" s="4">
        <f>SUM(Q255:Z255)</f>
      </c>
      <c r="E255" s="4">
        <f>SUM(AA255:AJ255)+SUM(BE255:BN255)</f>
      </c>
      <c r="G255" s="4">
        <f>MAX(0,AK255-BE255)</f>
      </c>
      <c r="H255" s="4">
        <f>MAX(0,AL255-BF255)</f>
      </c>
      <c r="I255" s="4">
        <f>MAX(0,AM255-BG255)</f>
      </c>
      <c r="J255" s="4">
        <f>MAX(0,AN255-BH255)</f>
      </c>
      <c r="K255" s="4">
        <f>MAX(0,AO255-BI255)</f>
      </c>
      <c r="L255" s="4">
        <f>MAX(0,AP255-BJ255)</f>
      </c>
      <c r="M255" s="4">
        <f>MAX(0,AQ255-BK255)</f>
      </c>
      <c r="N255" s="4">
        <f>MAX(0,AR255-BL255)</f>
      </c>
      <c r="O255" s="4">
        <f>MAX(0,AS255-BM255)</f>
      </c>
      <c r="P255" s="4">
        <f>MAX(0,AT255-BN255)</f>
      </c>
      <c r="Q255" s="4">
        <f>IF(G254&gt;0,G254*($J$5/100/12),0)</f>
      </c>
      <c r="R255" s="4">
        <f>IF(H254&gt;0,H254*($J$6/100/12),0)</f>
      </c>
      <c r="S255" s="4">
        <f>IF(I254&gt;0,I254*($J$7/100/12),0)</f>
      </c>
      <c r="T255" s="4">
        <f>IF(J254&gt;0,J254*($J$8/100/12),0)</f>
      </c>
      <c r="U255" s="4">
        <f>IF(K254&gt;0,K254*($J$9/100/12),0)</f>
      </c>
      <c r="V255" s="4">
        <f>IF(L254&gt;0,L254*($J$10/100/12),0)</f>
      </c>
      <c r="W255" s="4">
        <f>IF(M254&gt;0,M254*($J$11/100/12),0)</f>
      </c>
      <c r="X255" s="4">
        <f>IF(N254&gt;0,N254*($J$12/100/12),0)</f>
      </c>
      <c r="Y255" s="4">
        <f>IF(O254&gt;0,O254*($J$13/100/12),0)</f>
      </c>
      <c r="Z255" s="4">
        <f>IF(P254&gt;0,P254*($J$14/100/12),0)</f>
      </c>
      <c r="AA255" s="4">
        <f>IF(G254&lt;=0,0,MIN($K$5,(G254+Q255)))</f>
      </c>
      <c r="AB255" s="4">
        <f>IF(H254&lt;=0,0,MIN($K$6,(H254+R255)))</f>
      </c>
      <c r="AC255" s="4">
        <f>IF(I254&lt;=0,0,MIN($K$7,(I254+S255)))</f>
      </c>
      <c r="AD255" s="4">
        <f>IF(J254&lt;=0,0,MIN($K$8,(J254+T255)))</f>
      </c>
      <c r="AE255" s="4">
        <f>IF(K254&lt;=0,0,MIN($K$9,(K254+U255)))</f>
      </c>
      <c r="AF255" s="4">
        <f>IF(L254&lt;=0,0,MIN($K$10,(L254+V255)))</f>
      </c>
      <c r="AG255" s="4">
        <f>IF(M254&lt;=0,0,MIN($K$11,(M254+W255)))</f>
      </c>
      <c r="AH255" s="4">
        <f>IF(N254&lt;=0,0,MIN($K$12,(N254+X255)))</f>
      </c>
      <c r="AI255" s="4">
        <f>IF(O254&lt;=0,0,MIN($K$13,(O254+Y255)))</f>
      </c>
      <c r="AJ255" s="4">
        <f>IF(P254&lt;=0,0,MIN($K$14,(P254+Z255)))</f>
      </c>
      <c r="AK255" s="4">
        <f>(G254+Q255)-AA255</f>
      </c>
      <c r="AL255" s="4">
        <f>(H254+R255)-AB255</f>
      </c>
      <c r="AM255" s="4">
        <f>(I254+S255)-AC255</f>
      </c>
      <c r="AN255" s="4">
        <f>(J254+T255)-AD255</f>
      </c>
      <c r="AO255" s="4">
        <f>(K254+U255)-AE255</f>
      </c>
      <c r="AP255" s="4">
        <f>(L254+V255)-AF255</f>
      </c>
      <c r="AQ255" s="4">
        <f>(M254+W255)-AG255</f>
      </c>
      <c r="AR255" s="4">
        <f>(N254+X255)-AH255</f>
      </c>
      <c r="AS255" s="4">
        <f>(O254+Y255)-AI255</f>
      </c>
      <c r="AT255" s="4">
        <f>(P254+Z255)-AJ255</f>
      </c>
      <c r="AU255" s="4">
        <f>$B$16+SUM($K$5:$K$14)-SUM(AA255:AJ255)</f>
      </c>
      <c r="AV255" s="4">
        <f>AU255-BE255</f>
      </c>
      <c r="AW255" s="4">
        <f>AV255-BF255</f>
      </c>
      <c r="AX255" s="4">
        <f>AW255-BG255</f>
      </c>
      <c r="AY255" s="4">
        <f>AX255-BH255</f>
      </c>
      <c r="AZ255" s="4">
        <f>AY255-BI255</f>
      </c>
      <c r="BA255" s="4">
        <f>AZ255-BJ255</f>
      </c>
      <c r="BB255" s="4">
        <f>BA255-BK255</f>
      </c>
      <c r="BC255" s="4">
        <f>BB255-BL255</f>
      </c>
      <c r="BD255" s="4">
        <f>BC255-BM255</f>
      </c>
      <c r="BE255" s="4">
        <f>IF(G254&lt;=0,0,MIN(AU255,AK255))</f>
      </c>
      <c r="BF255" s="4">
        <f>IF(H254&lt;=0,0,MIN(AV255,AL255))</f>
      </c>
      <c r="BG255" s="4">
        <f>IF(I254&lt;=0,0,MIN(AW255,AM255))</f>
      </c>
      <c r="BH255" s="4">
        <f>IF(J254&lt;=0,0,MIN(AX255,AN255))</f>
      </c>
      <c r="BI255" s="4">
        <f>IF(K254&lt;=0,0,MIN(AY255,AO255))</f>
      </c>
      <c r="BJ255" s="4">
        <f>IF(L254&lt;=0,0,MIN(AZ255,AP255))</f>
      </c>
      <c r="BK255" s="4">
        <f>IF(M254&lt;=0,0,MIN(BA255,AQ255))</f>
      </c>
      <c r="BL255" s="4">
        <f>IF(N254&lt;=0,0,MIN(BB255,AR255))</f>
      </c>
      <c r="BM255" s="4">
        <f>IF(O254&lt;=0,0,MIN(BC255,AS255))</f>
      </c>
      <c r="BN255" s="4">
        <f>IF(P254&lt;=0,0,MIN(BD255,AT255))</f>
      </c>
    </row>
    <row r="256" spans="1:66" x14ac:dyDescent="0.25">
      <c r="A256">
        <v>229</v>
      </c>
      <c r="B256" s="7">
        <f>EDATE($B$17,229)</f>
      </c>
      <c r="C256" s="4">
        <f>SUM(G256:P256)</f>
      </c>
      <c r="D256" s="4">
        <f>SUM(Q256:Z256)</f>
      </c>
      <c r="E256" s="4">
        <f>SUM(AA256:AJ256)+SUM(BE256:BN256)</f>
      </c>
      <c r="G256" s="4">
        <f>MAX(0,AK256-BE256)</f>
      </c>
      <c r="H256" s="4">
        <f>MAX(0,AL256-BF256)</f>
      </c>
      <c r="I256" s="4">
        <f>MAX(0,AM256-BG256)</f>
      </c>
      <c r="J256" s="4">
        <f>MAX(0,AN256-BH256)</f>
      </c>
      <c r="K256" s="4">
        <f>MAX(0,AO256-BI256)</f>
      </c>
      <c r="L256" s="4">
        <f>MAX(0,AP256-BJ256)</f>
      </c>
      <c r="M256" s="4">
        <f>MAX(0,AQ256-BK256)</f>
      </c>
      <c r="N256" s="4">
        <f>MAX(0,AR256-BL256)</f>
      </c>
      <c r="O256" s="4">
        <f>MAX(0,AS256-BM256)</f>
      </c>
      <c r="P256" s="4">
        <f>MAX(0,AT256-BN256)</f>
      </c>
      <c r="Q256" s="4">
        <f>IF(G255&gt;0,G255*($J$5/100/12),0)</f>
      </c>
      <c r="R256" s="4">
        <f>IF(H255&gt;0,H255*($J$6/100/12),0)</f>
      </c>
      <c r="S256" s="4">
        <f>IF(I255&gt;0,I255*($J$7/100/12),0)</f>
      </c>
      <c r="T256" s="4">
        <f>IF(J255&gt;0,J255*($J$8/100/12),0)</f>
      </c>
      <c r="U256" s="4">
        <f>IF(K255&gt;0,K255*($J$9/100/12),0)</f>
      </c>
      <c r="V256" s="4">
        <f>IF(L255&gt;0,L255*($J$10/100/12),0)</f>
      </c>
      <c r="W256" s="4">
        <f>IF(M255&gt;0,M255*($J$11/100/12),0)</f>
      </c>
      <c r="X256" s="4">
        <f>IF(N255&gt;0,N255*($J$12/100/12),0)</f>
      </c>
      <c r="Y256" s="4">
        <f>IF(O255&gt;0,O255*($J$13/100/12),0)</f>
      </c>
      <c r="Z256" s="4">
        <f>IF(P255&gt;0,P255*($J$14/100/12),0)</f>
      </c>
      <c r="AA256" s="4">
        <f>IF(G255&lt;=0,0,MIN($K$5,(G255+Q256)))</f>
      </c>
      <c r="AB256" s="4">
        <f>IF(H255&lt;=0,0,MIN($K$6,(H255+R256)))</f>
      </c>
      <c r="AC256" s="4">
        <f>IF(I255&lt;=0,0,MIN($K$7,(I255+S256)))</f>
      </c>
      <c r="AD256" s="4">
        <f>IF(J255&lt;=0,0,MIN($K$8,(J255+T256)))</f>
      </c>
      <c r="AE256" s="4">
        <f>IF(K255&lt;=0,0,MIN($K$9,(K255+U256)))</f>
      </c>
      <c r="AF256" s="4">
        <f>IF(L255&lt;=0,0,MIN($K$10,(L255+V256)))</f>
      </c>
      <c r="AG256" s="4">
        <f>IF(M255&lt;=0,0,MIN($K$11,(M255+W256)))</f>
      </c>
      <c r="AH256" s="4">
        <f>IF(N255&lt;=0,0,MIN($K$12,(N255+X256)))</f>
      </c>
      <c r="AI256" s="4">
        <f>IF(O255&lt;=0,0,MIN($K$13,(O255+Y256)))</f>
      </c>
      <c r="AJ256" s="4">
        <f>IF(P255&lt;=0,0,MIN($K$14,(P255+Z256)))</f>
      </c>
      <c r="AK256" s="4">
        <f>(G255+Q256)-AA256</f>
      </c>
      <c r="AL256" s="4">
        <f>(H255+R256)-AB256</f>
      </c>
      <c r="AM256" s="4">
        <f>(I255+S256)-AC256</f>
      </c>
      <c r="AN256" s="4">
        <f>(J255+T256)-AD256</f>
      </c>
      <c r="AO256" s="4">
        <f>(K255+U256)-AE256</f>
      </c>
      <c r="AP256" s="4">
        <f>(L255+V256)-AF256</f>
      </c>
      <c r="AQ256" s="4">
        <f>(M255+W256)-AG256</f>
      </c>
      <c r="AR256" s="4">
        <f>(N255+X256)-AH256</f>
      </c>
      <c r="AS256" s="4">
        <f>(O255+Y256)-AI256</f>
      </c>
      <c r="AT256" s="4">
        <f>(P255+Z256)-AJ256</f>
      </c>
      <c r="AU256" s="4">
        <f>$B$16+SUM($K$5:$K$14)-SUM(AA256:AJ256)</f>
      </c>
      <c r="AV256" s="4">
        <f>AU256-BE256</f>
      </c>
      <c r="AW256" s="4">
        <f>AV256-BF256</f>
      </c>
      <c r="AX256" s="4">
        <f>AW256-BG256</f>
      </c>
      <c r="AY256" s="4">
        <f>AX256-BH256</f>
      </c>
      <c r="AZ256" s="4">
        <f>AY256-BI256</f>
      </c>
      <c r="BA256" s="4">
        <f>AZ256-BJ256</f>
      </c>
      <c r="BB256" s="4">
        <f>BA256-BK256</f>
      </c>
      <c r="BC256" s="4">
        <f>BB256-BL256</f>
      </c>
      <c r="BD256" s="4">
        <f>BC256-BM256</f>
      </c>
      <c r="BE256" s="4">
        <f>IF(G255&lt;=0,0,MIN(AU256,AK256))</f>
      </c>
      <c r="BF256" s="4">
        <f>IF(H255&lt;=0,0,MIN(AV256,AL256))</f>
      </c>
      <c r="BG256" s="4">
        <f>IF(I255&lt;=0,0,MIN(AW256,AM256))</f>
      </c>
      <c r="BH256" s="4">
        <f>IF(J255&lt;=0,0,MIN(AX256,AN256))</f>
      </c>
      <c r="BI256" s="4">
        <f>IF(K255&lt;=0,0,MIN(AY256,AO256))</f>
      </c>
      <c r="BJ256" s="4">
        <f>IF(L255&lt;=0,0,MIN(AZ256,AP256))</f>
      </c>
      <c r="BK256" s="4">
        <f>IF(M255&lt;=0,0,MIN(BA256,AQ256))</f>
      </c>
      <c r="BL256" s="4">
        <f>IF(N255&lt;=0,0,MIN(BB256,AR256))</f>
      </c>
      <c r="BM256" s="4">
        <f>IF(O255&lt;=0,0,MIN(BC256,AS256))</f>
      </c>
      <c r="BN256" s="4">
        <f>IF(P255&lt;=0,0,MIN(BD256,AT256))</f>
      </c>
    </row>
    <row r="257" spans="1:66" x14ac:dyDescent="0.25">
      <c r="A257">
        <v>230</v>
      </c>
      <c r="B257" s="7">
        <f>EDATE($B$17,230)</f>
      </c>
      <c r="C257" s="4">
        <f>SUM(G257:P257)</f>
      </c>
      <c r="D257" s="4">
        <f>SUM(Q257:Z257)</f>
      </c>
      <c r="E257" s="4">
        <f>SUM(AA257:AJ257)+SUM(BE257:BN257)</f>
      </c>
      <c r="G257" s="4">
        <f>MAX(0,AK257-BE257)</f>
      </c>
      <c r="H257" s="4">
        <f>MAX(0,AL257-BF257)</f>
      </c>
      <c r="I257" s="4">
        <f>MAX(0,AM257-BG257)</f>
      </c>
      <c r="J257" s="4">
        <f>MAX(0,AN257-BH257)</f>
      </c>
      <c r="K257" s="4">
        <f>MAX(0,AO257-BI257)</f>
      </c>
      <c r="L257" s="4">
        <f>MAX(0,AP257-BJ257)</f>
      </c>
      <c r="M257" s="4">
        <f>MAX(0,AQ257-BK257)</f>
      </c>
      <c r="N257" s="4">
        <f>MAX(0,AR257-BL257)</f>
      </c>
      <c r="O257" s="4">
        <f>MAX(0,AS257-BM257)</f>
      </c>
      <c r="P257" s="4">
        <f>MAX(0,AT257-BN257)</f>
      </c>
      <c r="Q257" s="4">
        <f>IF(G256&gt;0,G256*($J$5/100/12),0)</f>
      </c>
      <c r="R257" s="4">
        <f>IF(H256&gt;0,H256*($J$6/100/12),0)</f>
      </c>
      <c r="S257" s="4">
        <f>IF(I256&gt;0,I256*($J$7/100/12),0)</f>
      </c>
      <c r="T257" s="4">
        <f>IF(J256&gt;0,J256*($J$8/100/12),0)</f>
      </c>
      <c r="U257" s="4">
        <f>IF(K256&gt;0,K256*($J$9/100/12),0)</f>
      </c>
      <c r="V257" s="4">
        <f>IF(L256&gt;0,L256*($J$10/100/12),0)</f>
      </c>
      <c r="W257" s="4">
        <f>IF(M256&gt;0,M256*($J$11/100/12),0)</f>
      </c>
      <c r="X257" s="4">
        <f>IF(N256&gt;0,N256*($J$12/100/12),0)</f>
      </c>
      <c r="Y257" s="4">
        <f>IF(O256&gt;0,O256*($J$13/100/12),0)</f>
      </c>
      <c r="Z257" s="4">
        <f>IF(P256&gt;0,P256*($J$14/100/12),0)</f>
      </c>
      <c r="AA257" s="4">
        <f>IF(G256&lt;=0,0,MIN($K$5,(G256+Q257)))</f>
      </c>
      <c r="AB257" s="4">
        <f>IF(H256&lt;=0,0,MIN($K$6,(H256+R257)))</f>
      </c>
      <c r="AC257" s="4">
        <f>IF(I256&lt;=0,0,MIN($K$7,(I256+S257)))</f>
      </c>
      <c r="AD257" s="4">
        <f>IF(J256&lt;=0,0,MIN($K$8,(J256+T257)))</f>
      </c>
      <c r="AE257" s="4">
        <f>IF(K256&lt;=0,0,MIN($K$9,(K256+U257)))</f>
      </c>
      <c r="AF257" s="4">
        <f>IF(L256&lt;=0,0,MIN($K$10,(L256+V257)))</f>
      </c>
      <c r="AG257" s="4">
        <f>IF(M256&lt;=0,0,MIN($K$11,(M256+W257)))</f>
      </c>
      <c r="AH257" s="4">
        <f>IF(N256&lt;=0,0,MIN($K$12,(N256+X257)))</f>
      </c>
      <c r="AI257" s="4">
        <f>IF(O256&lt;=0,0,MIN($K$13,(O256+Y257)))</f>
      </c>
      <c r="AJ257" s="4">
        <f>IF(P256&lt;=0,0,MIN($K$14,(P256+Z257)))</f>
      </c>
      <c r="AK257" s="4">
        <f>(G256+Q257)-AA257</f>
      </c>
      <c r="AL257" s="4">
        <f>(H256+R257)-AB257</f>
      </c>
      <c r="AM257" s="4">
        <f>(I256+S257)-AC257</f>
      </c>
      <c r="AN257" s="4">
        <f>(J256+T257)-AD257</f>
      </c>
      <c r="AO257" s="4">
        <f>(K256+U257)-AE257</f>
      </c>
      <c r="AP257" s="4">
        <f>(L256+V257)-AF257</f>
      </c>
      <c r="AQ257" s="4">
        <f>(M256+W257)-AG257</f>
      </c>
      <c r="AR257" s="4">
        <f>(N256+X257)-AH257</f>
      </c>
      <c r="AS257" s="4">
        <f>(O256+Y257)-AI257</f>
      </c>
      <c r="AT257" s="4">
        <f>(P256+Z257)-AJ257</f>
      </c>
      <c r="AU257" s="4">
        <f>$B$16+SUM($K$5:$K$14)-SUM(AA257:AJ257)</f>
      </c>
      <c r="AV257" s="4">
        <f>AU257-BE257</f>
      </c>
      <c r="AW257" s="4">
        <f>AV257-BF257</f>
      </c>
      <c r="AX257" s="4">
        <f>AW257-BG257</f>
      </c>
      <c r="AY257" s="4">
        <f>AX257-BH257</f>
      </c>
      <c r="AZ257" s="4">
        <f>AY257-BI257</f>
      </c>
      <c r="BA257" s="4">
        <f>AZ257-BJ257</f>
      </c>
      <c r="BB257" s="4">
        <f>BA257-BK257</f>
      </c>
      <c r="BC257" s="4">
        <f>BB257-BL257</f>
      </c>
      <c r="BD257" s="4">
        <f>BC257-BM257</f>
      </c>
      <c r="BE257" s="4">
        <f>IF(G256&lt;=0,0,MIN(AU257,AK257))</f>
      </c>
      <c r="BF257" s="4">
        <f>IF(H256&lt;=0,0,MIN(AV257,AL257))</f>
      </c>
      <c r="BG257" s="4">
        <f>IF(I256&lt;=0,0,MIN(AW257,AM257))</f>
      </c>
      <c r="BH257" s="4">
        <f>IF(J256&lt;=0,0,MIN(AX257,AN257))</f>
      </c>
      <c r="BI257" s="4">
        <f>IF(K256&lt;=0,0,MIN(AY257,AO257))</f>
      </c>
      <c r="BJ257" s="4">
        <f>IF(L256&lt;=0,0,MIN(AZ257,AP257))</f>
      </c>
      <c r="BK257" s="4">
        <f>IF(M256&lt;=0,0,MIN(BA257,AQ257))</f>
      </c>
      <c r="BL257" s="4">
        <f>IF(N256&lt;=0,0,MIN(BB257,AR257))</f>
      </c>
      <c r="BM257" s="4">
        <f>IF(O256&lt;=0,0,MIN(BC257,AS257))</f>
      </c>
      <c r="BN257" s="4">
        <f>IF(P256&lt;=0,0,MIN(BD257,AT257))</f>
      </c>
    </row>
    <row r="258" spans="1:66" x14ac:dyDescent="0.25">
      <c r="A258">
        <v>231</v>
      </c>
      <c r="B258" s="7">
        <f>EDATE($B$17,231)</f>
      </c>
      <c r="C258" s="4">
        <f>SUM(G258:P258)</f>
      </c>
      <c r="D258" s="4">
        <f>SUM(Q258:Z258)</f>
      </c>
      <c r="E258" s="4">
        <f>SUM(AA258:AJ258)+SUM(BE258:BN258)</f>
      </c>
      <c r="G258" s="4">
        <f>MAX(0,AK258-BE258)</f>
      </c>
      <c r="H258" s="4">
        <f>MAX(0,AL258-BF258)</f>
      </c>
      <c r="I258" s="4">
        <f>MAX(0,AM258-BG258)</f>
      </c>
      <c r="J258" s="4">
        <f>MAX(0,AN258-BH258)</f>
      </c>
      <c r="K258" s="4">
        <f>MAX(0,AO258-BI258)</f>
      </c>
      <c r="L258" s="4">
        <f>MAX(0,AP258-BJ258)</f>
      </c>
      <c r="M258" s="4">
        <f>MAX(0,AQ258-BK258)</f>
      </c>
      <c r="N258" s="4">
        <f>MAX(0,AR258-BL258)</f>
      </c>
      <c r="O258" s="4">
        <f>MAX(0,AS258-BM258)</f>
      </c>
      <c r="P258" s="4">
        <f>MAX(0,AT258-BN258)</f>
      </c>
      <c r="Q258" s="4">
        <f>IF(G257&gt;0,G257*($J$5/100/12),0)</f>
      </c>
      <c r="R258" s="4">
        <f>IF(H257&gt;0,H257*($J$6/100/12),0)</f>
      </c>
      <c r="S258" s="4">
        <f>IF(I257&gt;0,I257*($J$7/100/12),0)</f>
      </c>
      <c r="T258" s="4">
        <f>IF(J257&gt;0,J257*($J$8/100/12),0)</f>
      </c>
      <c r="U258" s="4">
        <f>IF(K257&gt;0,K257*($J$9/100/12),0)</f>
      </c>
      <c r="V258" s="4">
        <f>IF(L257&gt;0,L257*($J$10/100/12),0)</f>
      </c>
      <c r="W258" s="4">
        <f>IF(M257&gt;0,M257*($J$11/100/12),0)</f>
      </c>
      <c r="X258" s="4">
        <f>IF(N257&gt;0,N257*($J$12/100/12),0)</f>
      </c>
      <c r="Y258" s="4">
        <f>IF(O257&gt;0,O257*($J$13/100/12),0)</f>
      </c>
      <c r="Z258" s="4">
        <f>IF(P257&gt;0,P257*($J$14/100/12),0)</f>
      </c>
      <c r="AA258" s="4">
        <f>IF(G257&lt;=0,0,MIN($K$5,(G257+Q258)))</f>
      </c>
      <c r="AB258" s="4">
        <f>IF(H257&lt;=0,0,MIN($K$6,(H257+R258)))</f>
      </c>
      <c r="AC258" s="4">
        <f>IF(I257&lt;=0,0,MIN($K$7,(I257+S258)))</f>
      </c>
      <c r="AD258" s="4">
        <f>IF(J257&lt;=0,0,MIN($K$8,(J257+T258)))</f>
      </c>
      <c r="AE258" s="4">
        <f>IF(K257&lt;=0,0,MIN($K$9,(K257+U258)))</f>
      </c>
      <c r="AF258" s="4">
        <f>IF(L257&lt;=0,0,MIN($K$10,(L257+V258)))</f>
      </c>
      <c r="AG258" s="4">
        <f>IF(M257&lt;=0,0,MIN($K$11,(M257+W258)))</f>
      </c>
      <c r="AH258" s="4">
        <f>IF(N257&lt;=0,0,MIN($K$12,(N257+X258)))</f>
      </c>
      <c r="AI258" s="4">
        <f>IF(O257&lt;=0,0,MIN($K$13,(O257+Y258)))</f>
      </c>
      <c r="AJ258" s="4">
        <f>IF(P257&lt;=0,0,MIN($K$14,(P257+Z258)))</f>
      </c>
      <c r="AK258" s="4">
        <f>(G257+Q258)-AA258</f>
      </c>
      <c r="AL258" s="4">
        <f>(H257+R258)-AB258</f>
      </c>
      <c r="AM258" s="4">
        <f>(I257+S258)-AC258</f>
      </c>
      <c r="AN258" s="4">
        <f>(J257+T258)-AD258</f>
      </c>
      <c r="AO258" s="4">
        <f>(K257+U258)-AE258</f>
      </c>
      <c r="AP258" s="4">
        <f>(L257+V258)-AF258</f>
      </c>
      <c r="AQ258" s="4">
        <f>(M257+W258)-AG258</f>
      </c>
      <c r="AR258" s="4">
        <f>(N257+X258)-AH258</f>
      </c>
      <c r="AS258" s="4">
        <f>(O257+Y258)-AI258</f>
      </c>
      <c r="AT258" s="4">
        <f>(P257+Z258)-AJ258</f>
      </c>
      <c r="AU258" s="4">
        <f>$B$16+SUM($K$5:$K$14)-SUM(AA258:AJ258)</f>
      </c>
      <c r="AV258" s="4">
        <f>AU258-BE258</f>
      </c>
      <c r="AW258" s="4">
        <f>AV258-BF258</f>
      </c>
      <c r="AX258" s="4">
        <f>AW258-BG258</f>
      </c>
      <c r="AY258" s="4">
        <f>AX258-BH258</f>
      </c>
      <c r="AZ258" s="4">
        <f>AY258-BI258</f>
      </c>
      <c r="BA258" s="4">
        <f>AZ258-BJ258</f>
      </c>
      <c r="BB258" s="4">
        <f>BA258-BK258</f>
      </c>
      <c r="BC258" s="4">
        <f>BB258-BL258</f>
      </c>
      <c r="BD258" s="4">
        <f>BC258-BM258</f>
      </c>
      <c r="BE258" s="4">
        <f>IF(G257&lt;=0,0,MIN(AU258,AK258))</f>
      </c>
      <c r="BF258" s="4">
        <f>IF(H257&lt;=0,0,MIN(AV258,AL258))</f>
      </c>
      <c r="BG258" s="4">
        <f>IF(I257&lt;=0,0,MIN(AW258,AM258))</f>
      </c>
      <c r="BH258" s="4">
        <f>IF(J257&lt;=0,0,MIN(AX258,AN258))</f>
      </c>
      <c r="BI258" s="4">
        <f>IF(K257&lt;=0,0,MIN(AY258,AO258))</f>
      </c>
      <c r="BJ258" s="4">
        <f>IF(L257&lt;=0,0,MIN(AZ258,AP258))</f>
      </c>
      <c r="BK258" s="4">
        <f>IF(M257&lt;=0,0,MIN(BA258,AQ258))</f>
      </c>
      <c r="BL258" s="4">
        <f>IF(N257&lt;=0,0,MIN(BB258,AR258))</f>
      </c>
      <c r="BM258" s="4">
        <f>IF(O257&lt;=0,0,MIN(BC258,AS258))</f>
      </c>
      <c r="BN258" s="4">
        <f>IF(P257&lt;=0,0,MIN(BD258,AT258))</f>
      </c>
    </row>
    <row r="259" spans="1:66" x14ac:dyDescent="0.25">
      <c r="A259">
        <v>232</v>
      </c>
      <c r="B259" s="7">
        <f>EDATE($B$17,232)</f>
      </c>
      <c r="C259" s="4">
        <f>SUM(G259:P259)</f>
      </c>
      <c r="D259" s="4">
        <f>SUM(Q259:Z259)</f>
      </c>
      <c r="E259" s="4">
        <f>SUM(AA259:AJ259)+SUM(BE259:BN259)</f>
      </c>
      <c r="G259" s="4">
        <f>MAX(0,AK259-BE259)</f>
      </c>
      <c r="H259" s="4">
        <f>MAX(0,AL259-BF259)</f>
      </c>
      <c r="I259" s="4">
        <f>MAX(0,AM259-BG259)</f>
      </c>
      <c r="J259" s="4">
        <f>MAX(0,AN259-BH259)</f>
      </c>
      <c r="K259" s="4">
        <f>MAX(0,AO259-BI259)</f>
      </c>
      <c r="L259" s="4">
        <f>MAX(0,AP259-BJ259)</f>
      </c>
      <c r="M259" s="4">
        <f>MAX(0,AQ259-BK259)</f>
      </c>
      <c r="N259" s="4">
        <f>MAX(0,AR259-BL259)</f>
      </c>
      <c r="O259" s="4">
        <f>MAX(0,AS259-BM259)</f>
      </c>
      <c r="P259" s="4">
        <f>MAX(0,AT259-BN259)</f>
      </c>
      <c r="Q259" s="4">
        <f>IF(G258&gt;0,G258*($J$5/100/12),0)</f>
      </c>
      <c r="R259" s="4">
        <f>IF(H258&gt;0,H258*($J$6/100/12),0)</f>
      </c>
      <c r="S259" s="4">
        <f>IF(I258&gt;0,I258*($J$7/100/12),0)</f>
      </c>
      <c r="T259" s="4">
        <f>IF(J258&gt;0,J258*($J$8/100/12),0)</f>
      </c>
      <c r="U259" s="4">
        <f>IF(K258&gt;0,K258*($J$9/100/12),0)</f>
      </c>
      <c r="V259" s="4">
        <f>IF(L258&gt;0,L258*($J$10/100/12),0)</f>
      </c>
      <c r="W259" s="4">
        <f>IF(M258&gt;0,M258*($J$11/100/12),0)</f>
      </c>
      <c r="X259" s="4">
        <f>IF(N258&gt;0,N258*($J$12/100/12),0)</f>
      </c>
      <c r="Y259" s="4">
        <f>IF(O258&gt;0,O258*($J$13/100/12),0)</f>
      </c>
      <c r="Z259" s="4">
        <f>IF(P258&gt;0,P258*($J$14/100/12),0)</f>
      </c>
      <c r="AA259" s="4">
        <f>IF(G258&lt;=0,0,MIN($K$5,(G258+Q259)))</f>
      </c>
      <c r="AB259" s="4">
        <f>IF(H258&lt;=0,0,MIN($K$6,(H258+R259)))</f>
      </c>
      <c r="AC259" s="4">
        <f>IF(I258&lt;=0,0,MIN($K$7,(I258+S259)))</f>
      </c>
      <c r="AD259" s="4">
        <f>IF(J258&lt;=0,0,MIN($K$8,(J258+T259)))</f>
      </c>
      <c r="AE259" s="4">
        <f>IF(K258&lt;=0,0,MIN($K$9,(K258+U259)))</f>
      </c>
      <c r="AF259" s="4">
        <f>IF(L258&lt;=0,0,MIN($K$10,(L258+V259)))</f>
      </c>
      <c r="AG259" s="4">
        <f>IF(M258&lt;=0,0,MIN($K$11,(M258+W259)))</f>
      </c>
      <c r="AH259" s="4">
        <f>IF(N258&lt;=0,0,MIN($K$12,(N258+X259)))</f>
      </c>
      <c r="AI259" s="4">
        <f>IF(O258&lt;=0,0,MIN($K$13,(O258+Y259)))</f>
      </c>
      <c r="AJ259" s="4">
        <f>IF(P258&lt;=0,0,MIN($K$14,(P258+Z259)))</f>
      </c>
      <c r="AK259" s="4">
        <f>(G258+Q259)-AA259</f>
      </c>
      <c r="AL259" s="4">
        <f>(H258+R259)-AB259</f>
      </c>
      <c r="AM259" s="4">
        <f>(I258+S259)-AC259</f>
      </c>
      <c r="AN259" s="4">
        <f>(J258+T259)-AD259</f>
      </c>
      <c r="AO259" s="4">
        <f>(K258+U259)-AE259</f>
      </c>
      <c r="AP259" s="4">
        <f>(L258+V259)-AF259</f>
      </c>
      <c r="AQ259" s="4">
        <f>(M258+W259)-AG259</f>
      </c>
      <c r="AR259" s="4">
        <f>(N258+X259)-AH259</f>
      </c>
      <c r="AS259" s="4">
        <f>(O258+Y259)-AI259</f>
      </c>
      <c r="AT259" s="4">
        <f>(P258+Z259)-AJ259</f>
      </c>
      <c r="AU259" s="4">
        <f>$B$16+SUM($K$5:$K$14)-SUM(AA259:AJ259)</f>
      </c>
      <c r="AV259" s="4">
        <f>AU259-BE259</f>
      </c>
      <c r="AW259" s="4">
        <f>AV259-BF259</f>
      </c>
      <c r="AX259" s="4">
        <f>AW259-BG259</f>
      </c>
      <c r="AY259" s="4">
        <f>AX259-BH259</f>
      </c>
      <c r="AZ259" s="4">
        <f>AY259-BI259</f>
      </c>
      <c r="BA259" s="4">
        <f>AZ259-BJ259</f>
      </c>
      <c r="BB259" s="4">
        <f>BA259-BK259</f>
      </c>
      <c r="BC259" s="4">
        <f>BB259-BL259</f>
      </c>
      <c r="BD259" s="4">
        <f>BC259-BM259</f>
      </c>
      <c r="BE259" s="4">
        <f>IF(G258&lt;=0,0,MIN(AU259,AK259))</f>
      </c>
      <c r="BF259" s="4">
        <f>IF(H258&lt;=0,0,MIN(AV259,AL259))</f>
      </c>
      <c r="BG259" s="4">
        <f>IF(I258&lt;=0,0,MIN(AW259,AM259))</f>
      </c>
      <c r="BH259" s="4">
        <f>IF(J258&lt;=0,0,MIN(AX259,AN259))</f>
      </c>
      <c r="BI259" s="4">
        <f>IF(K258&lt;=0,0,MIN(AY259,AO259))</f>
      </c>
      <c r="BJ259" s="4">
        <f>IF(L258&lt;=0,0,MIN(AZ259,AP259))</f>
      </c>
      <c r="BK259" s="4">
        <f>IF(M258&lt;=0,0,MIN(BA259,AQ259))</f>
      </c>
      <c r="BL259" s="4">
        <f>IF(N258&lt;=0,0,MIN(BB259,AR259))</f>
      </c>
      <c r="BM259" s="4">
        <f>IF(O258&lt;=0,0,MIN(BC259,AS259))</f>
      </c>
      <c r="BN259" s="4">
        <f>IF(P258&lt;=0,0,MIN(BD259,AT259))</f>
      </c>
    </row>
    <row r="260" spans="1:66" x14ac:dyDescent="0.25">
      <c r="A260">
        <v>233</v>
      </c>
      <c r="B260" s="7">
        <f>EDATE($B$17,233)</f>
      </c>
      <c r="C260" s="4">
        <f>SUM(G260:P260)</f>
      </c>
      <c r="D260" s="4">
        <f>SUM(Q260:Z260)</f>
      </c>
      <c r="E260" s="4">
        <f>SUM(AA260:AJ260)+SUM(BE260:BN260)</f>
      </c>
      <c r="G260" s="4">
        <f>MAX(0,AK260-BE260)</f>
      </c>
      <c r="H260" s="4">
        <f>MAX(0,AL260-BF260)</f>
      </c>
      <c r="I260" s="4">
        <f>MAX(0,AM260-BG260)</f>
      </c>
      <c r="J260" s="4">
        <f>MAX(0,AN260-BH260)</f>
      </c>
      <c r="K260" s="4">
        <f>MAX(0,AO260-BI260)</f>
      </c>
      <c r="L260" s="4">
        <f>MAX(0,AP260-BJ260)</f>
      </c>
      <c r="M260" s="4">
        <f>MAX(0,AQ260-BK260)</f>
      </c>
      <c r="N260" s="4">
        <f>MAX(0,AR260-BL260)</f>
      </c>
      <c r="O260" s="4">
        <f>MAX(0,AS260-BM260)</f>
      </c>
      <c r="P260" s="4">
        <f>MAX(0,AT260-BN260)</f>
      </c>
      <c r="Q260" s="4">
        <f>IF(G259&gt;0,G259*($J$5/100/12),0)</f>
      </c>
      <c r="R260" s="4">
        <f>IF(H259&gt;0,H259*($J$6/100/12),0)</f>
      </c>
      <c r="S260" s="4">
        <f>IF(I259&gt;0,I259*($J$7/100/12),0)</f>
      </c>
      <c r="T260" s="4">
        <f>IF(J259&gt;0,J259*($J$8/100/12),0)</f>
      </c>
      <c r="U260" s="4">
        <f>IF(K259&gt;0,K259*($J$9/100/12),0)</f>
      </c>
      <c r="V260" s="4">
        <f>IF(L259&gt;0,L259*($J$10/100/12),0)</f>
      </c>
      <c r="W260" s="4">
        <f>IF(M259&gt;0,M259*($J$11/100/12),0)</f>
      </c>
      <c r="X260" s="4">
        <f>IF(N259&gt;0,N259*($J$12/100/12),0)</f>
      </c>
      <c r="Y260" s="4">
        <f>IF(O259&gt;0,O259*($J$13/100/12),0)</f>
      </c>
      <c r="Z260" s="4">
        <f>IF(P259&gt;0,P259*($J$14/100/12),0)</f>
      </c>
      <c r="AA260" s="4">
        <f>IF(G259&lt;=0,0,MIN($K$5,(G259+Q260)))</f>
      </c>
      <c r="AB260" s="4">
        <f>IF(H259&lt;=0,0,MIN($K$6,(H259+R260)))</f>
      </c>
      <c r="AC260" s="4">
        <f>IF(I259&lt;=0,0,MIN($K$7,(I259+S260)))</f>
      </c>
      <c r="AD260" s="4">
        <f>IF(J259&lt;=0,0,MIN($K$8,(J259+T260)))</f>
      </c>
      <c r="AE260" s="4">
        <f>IF(K259&lt;=0,0,MIN($K$9,(K259+U260)))</f>
      </c>
      <c r="AF260" s="4">
        <f>IF(L259&lt;=0,0,MIN($K$10,(L259+V260)))</f>
      </c>
      <c r="AG260" s="4">
        <f>IF(M259&lt;=0,0,MIN($K$11,(M259+W260)))</f>
      </c>
      <c r="AH260" s="4">
        <f>IF(N259&lt;=0,0,MIN($K$12,(N259+X260)))</f>
      </c>
      <c r="AI260" s="4">
        <f>IF(O259&lt;=0,0,MIN($K$13,(O259+Y260)))</f>
      </c>
      <c r="AJ260" s="4">
        <f>IF(P259&lt;=0,0,MIN($K$14,(P259+Z260)))</f>
      </c>
      <c r="AK260" s="4">
        <f>(G259+Q260)-AA260</f>
      </c>
      <c r="AL260" s="4">
        <f>(H259+R260)-AB260</f>
      </c>
      <c r="AM260" s="4">
        <f>(I259+S260)-AC260</f>
      </c>
      <c r="AN260" s="4">
        <f>(J259+T260)-AD260</f>
      </c>
      <c r="AO260" s="4">
        <f>(K259+U260)-AE260</f>
      </c>
      <c r="AP260" s="4">
        <f>(L259+V260)-AF260</f>
      </c>
      <c r="AQ260" s="4">
        <f>(M259+W260)-AG260</f>
      </c>
      <c r="AR260" s="4">
        <f>(N259+X260)-AH260</f>
      </c>
      <c r="AS260" s="4">
        <f>(O259+Y260)-AI260</f>
      </c>
      <c r="AT260" s="4">
        <f>(P259+Z260)-AJ260</f>
      </c>
      <c r="AU260" s="4">
        <f>$B$16+SUM($K$5:$K$14)-SUM(AA260:AJ260)</f>
      </c>
      <c r="AV260" s="4">
        <f>AU260-BE260</f>
      </c>
      <c r="AW260" s="4">
        <f>AV260-BF260</f>
      </c>
      <c r="AX260" s="4">
        <f>AW260-BG260</f>
      </c>
      <c r="AY260" s="4">
        <f>AX260-BH260</f>
      </c>
      <c r="AZ260" s="4">
        <f>AY260-BI260</f>
      </c>
      <c r="BA260" s="4">
        <f>AZ260-BJ260</f>
      </c>
      <c r="BB260" s="4">
        <f>BA260-BK260</f>
      </c>
      <c r="BC260" s="4">
        <f>BB260-BL260</f>
      </c>
      <c r="BD260" s="4">
        <f>BC260-BM260</f>
      </c>
      <c r="BE260" s="4">
        <f>IF(G259&lt;=0,0,MIN(AU260,AK260))</f>
      </c>
      <c r="BF260" s="4">
        <f>IF(H259&lt;=0,0,MIN(AV260,AL260))</f>
      </c>
      <c r="BG260" s="4">
        <f>IF(I259&lt;=0,0,MIN(AW260,AM260))</f>
      </c>
      <c r="BH260" s="4">
        <f>IF(J259&lt;=0,0,MIN(AX260,AN260))</f>
      </c>
      <c r="BI260" s="4">
        <f>IF(K259&lt;=0,0,MIN(AY260,AO260))</f>
      </c>
      <c r="BJ260" s="4">
        <f>IF(L259&lt;=0,0,MIN(AZ260,AP260))</f>
      </c>
      <c r="BK260" s="4">
        <f>IF(M259&lt;=0,0,MIN(BA260,AQ260))</f>
      </c>
      <c r="BL260" s="4">
        <f>IF(N259&lt;=0,0,MIN(BB260,AR260))</f>
      </c>
      <c r="BM260" s="4">
        <f>IF(O259&lt;=0,0,MIN(BC260,AS260))</f>
      </c>
      <c r="BN260" s="4">
        <f>IF(P259&lt;=0,0,MIN(BD260,AT260))</f>
      </c>
    </row>
    <row r="261" spans="1:66" x14ac:dyDescent="0.25">
      <c r="A261">
        <v>234</v>
      </c>
      <c r="B261" s="7">
        <f>EDATE($B$17,234)</f>
      </c>
      <c r="C261" s="4">
        <f>SUM(G261:P261)</f>
      </c>
      <c r="D261" s="4">
        <f>SUM(Q261:Z261)</f>
      </c>
      <c r="E261" s="4">
        <f>SUM(AA261:AJ261)+SUM(BE261:BN261)</f>
      </c>
      <c r="G261" s="4">
        <f>MAX(0,AK261-BE261)</f>
      </c>
      <c r="H261" s="4">
        <f>MAX(0,AL261-BF261)</f>
      </c>
      <c r="I261" s="4">
        <f>MAX(0,AM261-BG261)</f>
      </c>
      <c r="J261" s="4">
        <f>MAX(0,AN261-BH261)</f>
      </c>
      <c r="K261" s="4">
        <f>MAX(0,AO261-BI261)</f>
      </c>
      <c r="L261" s="4">
        <f>MAX(0,AP261-BJ261)</f>
      </c>
      <c r="M261" s="4">
        <f>MAX(0,AQ261-BK261)</f>
      </c>
      <c r="N261" s="4">
        <f>MAX(0,AR261-BL261)</f>
      </c>
      <c r="O261" s="4">
        <f>MAX(0,AS261-BM261)</f>
      </c>
      <c r="P261" s="4">
        <f>MAX(0,AT261-BN261)</f>
      </c>
      <c r="Q261" s="4">
        <f>IF(G260&gt;0,G260*($J$5/100/12),0)</f>
      </c>
      <c r="R261" s="4">
        <f>IF(H260&gt;0,H260*($J$6/100/12),0)</f>
      </c>
      <c r="S261" s="4">
        <f>IF(I260&gt;0,I260*($J$7/100/12),0)</f>
      </c>
      <c r="T261" s="4">
        <f>IF(J260&gt;0,J260*($J$8/100/12),0)</f>
      </c>
      <c r="U261" s="4">
        <f>IF(K260&gt;0,K260*($J$9/100/12),0)</f>
      </c>
      <c r="V261" s="4">
        <f>IF(L260&gt;0,L260*($J$10/100/12),0)</f>
      </c>
      <c r="W261" s="4">
        <f>IF(M260&gt;0,M260*($J$11/100/12),0)</f>
      </c>
      <c r="X261" s="4">
        <f>IF(N260&gt;0,N260*($J$12/100/12),0)</f>
      </c>
      <c r="Y261" s="4">
        <f>IF(O260&gt;0,O260*($J$13/100/12),0)</f>
      </c>
      <c r="Z261" s="4">
        <f>IF(P260&gt;0,P260*($J$14/100/12),0)</f>
      </c>
      <c r="AA261" s="4">
        <f>IF(G260&lt;=0,0,MIN($K$5,(G260+Q261)))</f>
      </c>
      <c r="AB261" s="4">
        <f>IF(H260&lt;=0,0,MIN($K$6,(H260+R261)))</f>
      </c>
      <c r="AC261" s="4">
        <f>IF(I260&lt;=0,0,MIN($K$7,(I260+S261)))</f>
      </c>
      <c r="AD261" s="4">
        <f>IF(J260&lt;=0,0,MIN($K$8,(J260+T261)))</f>
      </c>
      <c r="AE261" s="4">
        <f>IF(K260&lt;=0,0,MIN($K$9,(K260+U261)))</f>
      </c>
      <c r="AF261" s="4">
        <f>IF(L260&lt;=0,0,MIN($K$10,(L260+V261)))</f>
      </c>
      <c r="AG261" s="4">
        <f>IF(M260&lt;=0,0,MIN($K$11,(M260+W261)))</f>
      </c>
      <c r="AH261" s="4">
        <f>IF(N260&lt;=0,0,MIN($K$12,(N260+X261)))</f>
      </c>
      <c r="AI261" s="4">
        <f>IF(O260&lt;=0,0,MIN($K$13,(O260+Y261)))</f>
      </c>
      <c r="AJ261" s="4">
        <f>IF(P260&lt;=0,0,MIN($K$14,(P260+Z261)))</f>
      </c>
      <c r="AK261" s="4">
        <f>(G260+Q261)-AA261</f>
      </c>
      <c r="AL261" s="4">
        <f>(H260+R261)-AB261</f>
      </c>
      <c r="AM261" s="4">
        <f>(I260+S261)-AC261</f>
      </c>
      <c r="AN261" s="4">
        <f>(J260+T261)-AD261</f>
      </c>
      <c r="AO261" s="4">
        <f>(K260+U261)-AE261</f>
      </c>
      <c r="AP261" s="4">
        <f>(L260+V261)-AF261</f>
      </c>
      <c r="AQ261" s="4">
        <f>(M260+W261)-AG261</f>
      </c>
      <c r="AR261" s="4">
        <f>(N260+X261)-AH261</f>
      </c>
      <c r="AS261" s="4">
        <f>(O260+Y261)-AI261</f>
      </c>
      <c r="AT261" s="4">
        <f>(P260+Z261)-AJ261</f>
      </c>
      <c r="AU261" s="4">
        <f>$B$16+SUM($K$5:$K$14)-SUM(AA261:AJ261)</f>
      </c>
      <c r="AV261" s="4">
        <f>AU261-BE261</f>
      </c>
      <c r="AW261" s="4">
        <f>AV261-BF261</f>
      </c>
      <c r="AX261" s="4">
        <f>AW261-BG261</f>
      </c>
      <c r="AY261" s="4">
        <f>AX261-BH261</f>
      </c>
      <c r="AZ261" s="4">
        <f>AY261-BI261</f>
      </c>
      <c r="BA261" s="4">
        <f>AZ261-BJ261</f>
      </c>
      <c r="BB261" s="4">
        <f>BA261-BK261</f>
      </c>
      <c r="BC261" s="4">
        <f>BB261-BL261</f>
      </c>
      <c r="BD261" s="4">
        <f>BC261-BM261</f>
      </c>
      <c r="BE261" s="4">
        <f>IF(G260&lt;=0,0,MIN(AU261,AK261))</f>
      </c>
      <c r="BF261" s="4">
        <f>IF(H260&lt;=0,0,MIN(AV261,AL261))</f>
      </c>
      <c r="BG261" s="4">
        <f>IF(I260&lt;=0,0,MIN(AW261,AM261))</f>
      </c>
      <c r="BH261" s="4">
        <f>IF(J260&lt;=0,0,MIN(AX261,AN261))</f>
      </c>
      <c r="BI261" s="4">
        <f>IF(K260&lt;=0,0,MIN(AY261,AO261))</f>
      </c>
      <c r="BJ261" s="4">
        <f>IF(L260&lt;=0,0,MIN(AZ261,AP261))</f>
      </c>
      <c r="BK261" s="4">
        <f>IF(M260&lt;=0,0,MIN(BA261,AQ261))</f>
      </c>
      <c r="BL261" s="4">
        <f>IF(N260&lt;=0,0,MIN(BB261,AR261))</f>
      </c>
      <c r="BM261" s="4">
        <f>IF(O260&lt;=0,0,MIN(BC261,AS261))</f>
      </c>
      <c r="BN261" s="4">
        <f>IF(P260&lt;=0,0,MIN(BD261,AT261))</f>
      </c>
    </row>
    <row r="262" spans="1:66" x14ac:dyDescent="0.25">
      <c r="A262">
        <v>235</v>
      </c>
      <c r="B262" s="7">
        <f>EDATE($B$17,235)</f>
      </c>
      <c r="C262" s="4">
        <f>SUM(G262:P262)</f>
      </c>
      <c r="D262" s="4">
        <f>SUM(Q262:Z262)</f>
      </c>
      <c r="E262" s="4">
        <f>SUM(AA262:AJ262)+SUM(BE262:BN262)</f>
      </c>
      <c r="G262" s="4">
        <f>MAX(0,AK262-BE262)</f>
      </c>
      <c r="H262" s="4">
        <f>MAX(0,AL262-BF262)</f>
      </c>
      <c r="I262" s="4">
        <f>MAX(0,AM262-BG262)</f>
      </c>
      <c r="J262" s="4">
        <f>MAX(0,AN262-BH262)</f>
      </c>
      <c r="K262" s="4">
        <f>MAX(0,AO262-BI262)</f>
      </c>
      <c r="L262" s="4">
        <f>MAX(0,AP262-BJ262)</f>
      </c>
      <c r="M262" s="4">
        <f>MAX(0,AQ262-BK262)</f>
      </c>
      <c r="N262" s="4">
        <f>MAX(0,AR262-BL262)</f>
      </c>
      <c r="O262" s="4">
        <f>MAX(0,AS262-BM262)</f>
      </c>
      <c r="P262" s="4">
        <f>MAX(0,AT262-BN262)</f>
      </c>
      <c r="Q262" s="4">
        <f>IF(G261&gt;0,G261*($J$5/100/12),0)</f>
      </c>
      <c r="R262" s="4">
        <f>IF(H261&gt;0,H261*($J$6/100/12),0)</f>
      </c>
      <c r="S262" s="4">
        <f>IF(I261&gt;0,I261*($J$7/100/12),0)</f>
      </c>
      <c r="T262" s="4">
        <f>IF(J261&gt;0,J261*($J$8/100/12),0)</f>
      </c>
      <c r="U262" s="4">
        <f>IF(K261&gt;0,K261*($J$9/100/12),0)</f>
      </c>
      <c r="V262" s="4">
        <f>IF(L261&gt;0,L261*($J$10/100/12),0)</f>
      </c>
      <c r="W262" s="4">
        <f>IF(M261&gt;0,M261*($J$11/100/12),0)</f>
      </c>
      <c r="X262" s="4">
        <f>IF(N261&gt;0,N261*($J$12/100/12),0)</f>
      </c>
      <c r="Y262" s="4">
        <f>IF(O261&gt;0,O261*($J$13/100/12),0)</f>
      </c>
      <c r="Z262" s="4">
        <f>IF(P261&gt;0,P261*($J$14/100/12),0)</f>
      </c>
      <c r="AA262" s="4">
        <f>IF(G261&lt;=0,0,MIN($K$5,(G261+Q262)))</f>
      </c>
      <c r="AB262" s="4">
        <f>IF(H261&lt;=0,0,MIN($K$6,(H261+R262)))</f>
      </c>
      <c r="AC262" s="4">
        <f>IF(I261&lt;=0,0,MIN($K$7,(I261+S262)))</f>
      </c>
      <c r="AD262" s="4">
        <f>IF(J261&lt;=0,0,MIN($K$8,(J261+T262)))</f>
      </c>
      <c r="AE262" s="4">
        <f>IF(K261&lt;=0,0,MIN($K$9,(K261+U262)))</f>
      </c>
      <c r="AF262" s="4">
        <f>IF(L261&lt;=0,0,MIN($K$10,(L261+V262)))</f>
      </c>
      <c r="AG262" s="4">
        <f>IF(M261&lt;=0,0,MIN($K$11,(M261+W262)))</f>
      </c>
      <c r="AH262" s="4">
        <f>IF(N261&lt;=0,0,MIN($K$12,(N261+X262)))</f>
      </c>
      <c r="AI262" s="4">
        <f>IF(O261&lt;=0,0,MIN($K$13,(O261+Y262)))</f>
      </c>
      <c r="AJ262" s="4">
        <f>IF(P261&lt;=0,0,MIN($K$14,(P261+Z262)))</f>
      </c>
      <c r="AK262" s="4">
        <f>(G261+Q262)-AA262</f>
      </c>
      <c r="AL262" s="4">
        <f>(H261+R262)-AB262</f>
      </c>
      <c r="AM262" s="4">
        <f>(I261+S262)-AC262</f>
      </c>
      <c r="AN262" s="4">
        <f>(J261+T262)-AD262</f>
      </c>
      <c r="AO262" s="4">
        <f>(K261+U262)-AE262</f>
      </c>
      <c r="AP262" s="4">
        <f>(L261+V262)-AF262</f>
      </c>
      <c r="AQ262" s="4">
        <f>(M261+W262)-AG262</f>
      </c>
      <c r="AR262" s="4">
        <f>(N261+X262)-AH262</f>
      </c>
      <c r="AS262" s="4">
        <f>(O261+Y262)-AI262</f>
      </c>
      <c r="AT262" s="4">
        <f>(P261+Z262)-AJ262</f>
      </c>
      <c r="AU262" s="4">
        <f>$B$16+SUM($K$5:$K$14)-SUM(AA262:AJ262)</f>
      </c>
      <c r="AV262" s="4">
        <f>AU262-BE262</f>
      </c>
      <c r="AW262" s="4">
        <f>AV262-BF262</f>
      </c>
      <c r="AX262" s="4">
        <f>AW262-BG262</f>
      </c>
      <c r="AY262" s="4">
        <f>AX262-BH262</f>
      </c>
      <c r="AZ262" s="4">
        <f>AY262-BI262</f>
      </c>
      <c r="BA262" s="4">
        <f>AZ262-BJ262</f>
      </c>
      <c r="BB262" s="4">
        <f>BA262-BK262</f>
      </c>
      <c r="BC262" s="4">
        <f>BB262-BL262</f>
      </c>
      <c r="BD262" s="4">
        <f>BC262-BM262</f>
      </c>
      <c r="BE262" s="4">
        <f>IF(G261&lt;=0,0,MIN(AU262,AK262))</f>
      </c>
      <c r="BF262" s="4">
        <f>IF(H261&lt;=0,0,MIN(AV262,AL262))</f>
      </c>
      <c r="BG262" s="4">
        <f>IF(I261&lt;=0,0,MIN(AW262,AM262))</f>
      </c>
      <c r="BH262" s="4">
        <f>IF(J261&lt;=0,0,MIN(AX262,AN262))</f>
      </c>
      <c r="BI262" s="4">
        <f>IF(K261&lt;=0,0,MIN(AY262,AO262))</f>
      </c>
      <c r="BJ262" s="4">
        <f>IF(L261&lt;=0,0,MIN(AZ262,AP262))</f>
      </c>
      <c r="BK262" s="4">
        <f>IF(M261&lt;=0,0,MIN(BA262,AQ262))</f>
      </c>
      <c r="BL262" s="4">
        <f>IF(N261&lt;=0,0,MIN(BB262,AR262))</f>
      </c>
      <c r="BM262" s="4">
        <f>IF(O261&lt;=0,0,MIN(BC262,AS262))</f>
      </c>
      <c r="BN262" s="4">
        <f>IF(P261&lt;=0,0,MIN(BD262,AT262))</f>
      </c>
    </row>
    <row r="263" spans="1:66" x14ac:dyDescent="0.25">
      <c r="A263">
        <v>236</v>
      </c>
      <c r="B263" s="7">
        <f>EDATE($B$17,236)</f>
      </c>
      <c r="C263" s="4">
        <f>SUM(G263:P263)</f>
      </c>
      <c r="D263" s="4">
        <f>SUM(Q263:Z263)</f>
      </c>
      <c r="E263" s="4">
        <f>SUM(AA263:AJ263)+SUM(BE263:BN263)</f>
      </c>
      <c r="G263" s="4">
        <f>MAX(0,AK263-BE263)</f>
      </c>
      <c r="H263" s="4">
        <f>MAX(0,AL263-BF263)</f>
      </c>
      <c r="I263" s="4">
        <f>MAX(0,AM263-BG263)</f>
      </c>
      <c r="J263" s="4">
        <f>MAX(0,AN263-BH263)</f>
      </c>
      <c r="K263" s="4">
        <f>MAX(0,AO263-BI263)</f>
      </c>
      <c r="L263" s="4">
        <f>MAX(0,AP263-BJ263)</f>
      </c>
      <c r="M263" s="4">
        <f>MAX(0,AQ263-BK263)</f>
      </c>
      <c r="N263" s="4">
        <f>MAX(0,AR263-BL263)</f>
      </c>
      <c r="O263" s="4">
        <f>MAX(0,AS263-BM263)</f>
      </c>
      <c r="P263" s="4">
        <f>MAX(0,AT263-BN263)</f>
      </c>
      <c r="Q263" s="4">
        <f>IF(G262&gt;0,G262*($J$5/100/12),0)</f>
      </c>
      <c r="R263" s="4">
        <f>IF(H262&gt;0,H262*($J$6/100/12),0)</f>
      </c>
      <c r="S263" s="4">
        <f>IF(I262&gt;0,I262*($J$7/100/12),0)</f>
      </c>
      <c r="T263" s="4">
        <f>IF(J262&gt;0,J262*($J$8/100/12),0)</f>
      </c>
      <c r="U263" s="4">
        <f>IF(K262&gt;0,K262*($J$9/100/12),0)</f>
      </c>
      <c r="V263" s="4">
        <f>IF(L262&gt;0,L262*($J$10/100/12),0)</f>
      </c>
      <c r="W263" s="4">
        <f>IF(M262&gt;0,M262*($J$11/100/12),0)</f>
      </c>
      <c r="X263" s="4">
        <f>IF(N262&gt;0,N262*($J$12/100/12),0)</f>
      </c>
      <c r="Y263" s="4">
        <f>IF(O262&gt;0,O262*($J$13/100/12),0)</f>
      </c>
      <c r="Z263" s="4">
        <f>IF(P262&gt;0,P262*($J$14/100/12),0)</f>
      </c>
      <c r="AA263" s="4">
        <f>IF(G262&lt;=0,0,MIN($K$5,(G262+Q263)))</f>
      </c>
      <c r="AB263" s="4">
        <f>IF(H262&lt;=0,0,MIN($K$6,(H262+R263)))</f>
      </c>
      <c r="AC263" s="4">
        <f>IF(I262&lt;=0,0,MIN($K$7,(I262+S263)))</f>
      </c>
      <c r="AD263" s="4">
        <f>IF(J262&lt;=0,0,MIN($K$8,(J262+T263)))</f>
      </c>
      <c r="AE263" s="4">
        <f>IF(K262&lt;=0,0,MIN($K$9,(K262+U263)))</f>
      </c>
      <c r="AF263" s="4">
        <f>IF(L262&lt;=0,0,MIN($K$10,(L262+V263)))</f>
      </c>
      <c r="AG263" s="4">
        <f>IF(M262&lt;=0,0,MIN($K$11,(M262+W263)))</f>
      </c>
      <c r="AH263" s="4">
        <f>IF(N262&lt;=0,0,MIN($K$12,(N262+X263)))</f>
      </c>
      <c r="AI263" s="4">
        <f>IF(O262&lt;=0,0,MIN($K$13,(O262+Y263)))</f>
      </c>
      <c r="AJ263" s="4">
        <f>IF(P262&lt;=0,0,MIN($K$14,(P262+Z263)))</f>
      </c>
      <c r="AK263" s="4">
        <f>(G262+Q263)-AA263</f>
      </c>
      <c r="AL263" s="4">
        <f>(H262+R263)-AB263</f>
      </c>
      <c r="AM263" s="4">
        <f>(I262+S263)-AC263</f>
      </c>
      <c r="AN263" s="4">
        <f>(J262+T263)-AD263</f>
      </c>
      <c r="AO263" s="4">
        <f>(K262+U263)-AE263</f>
      </c>
      <c r="AP263" s="4">
        <f>(L262+V263)-AF263</f>
      </c>
      <c r="AQ263" s="4">
        <f>(M262+W263)-AG263</f>
      </c>
      <c r="AR263" s="4">
        <f>(N262+X263)-AH263</f>
      </c>
      <c r="AS263" s="4">
        <f>(O262+Y263)-AI263</f>
      </c>
      <c r="AT263" s="4">
        <f>(P262+Z263)-AJ263</f>
      </c>
      <c r="AU263" s="4">
        <f>$B$16+SUM($K$5:$K$14)-SUM(AA263:AJ263)</f>
      </c>
      <c r="AV263" s="4">
        <f>AU263-BE263</f>
      </c>
      <c r="AW263" s="4">
        <f>AV263-BF263</f>
      </c>
      <c r="AX263" s="4">
        <f>AW263-BG263</f>
      </c>
      <c r="AY263" s="4">
        <f>AX263-BH263</f>
      </c>
      <c r="AZ263" s="4">
        <f>AY263-BI263</f>
      </c>
      <c r="BA263" s="4">
        <f>AZ263-BJ263</f>
      </c>
      <c r="BB263" s="4">
        <f>BA263-BK263</f>
      </c>
      <c r="BC263" s="4">
        <f>BB263-BL263</f>
      </c>
      <c r="BD263" s="4">
        <f>BC263-BM263</f>
      </c>
      <c r="BE263" s="4">
        <f>IF(G262&lt;=0,0,MIN(AU263,AK263))</f>
      </c>
      <c r="BF263" s="4">
        <f>IF(H262&lt;=0,0,MIN(AV263,AL263))</f>
      </c>
      <c r="BG263" s="4">
        <f>IF(I262&lt;=0,0,MIN(AW263,AM263))</f>
      </c>
      <c r="BH263" s="4">
        <f>IF(J262&lt;=0,0,MIN(AX263,AN263))</f>
      </c>
      <c r="BI263" s="4">
        <f>IF(K262&lt;=0,0,MIN(AY263,AO263))</f>
      </c>
      <c r="BJ263" s="4">
        <f>IF(L262&lt;=0,0,MIN(AZ263,AP263))</f>
      </c>
      <c r="BK263" s="4">
        <f>IF(M262&lt;=0,0,MIN(BA263,AQ263))</f>
      </c>
      <c r="BL263" s="4">
        <f>IF(N262&lt;=0,0,MIN(BB263,AR263))</f>
      </c>
      <c r="BM263" s="4">
        <f>IF(O262&lt;=0,0,MIN(BC263,AS263))</f>
      </c>
      <c r="BN263" s="4">
        <f>IF(P262&lt;=0,0,MIN(BD263,AT263))</f>
      </c>
    </row>
    <row r="264" spans="1:66" x14ac:dyDescent="0.25">
      <c r="A264">
        <v>237</v>
      </c>
      <c r="B264" s="7">
        <f>EDATE($B$17,237)</f>
      </c>
      <c r="C264" s="4">
        <f>SUM(G264:P264)</f>
      </c>
      <c r="D264" s="4">
        <f>SUM(Q264:Z264)</f>
      </c>
      <c r="E264" s="4">
        <f>SUM(AA264:AJ264)+SUM(BE264:BN264)</f>
      </c>
      <c r="G264" s="4">
        <f>MAX(0,AK264-BE264)</f>
      </c>
      <c r="H264" s="4">
        <f>MAX(0,AL264-BF264)</f>
      </c>
      <c r="I264" s="4">
        <f>MAX(0,AM264-BG264)</f>
      </c>
      <c r="J264" s="4">
        <f>MAX(0,AN264-BH264)</f>
      </c>
      <c r="K264" s="4">
        <f>MAX(0,AO264-BI264)</f>
      </c>
      <c r="L264" s="4">
        <f>MAX(0,AP264-BJ264)</f>
      </c>
      <c r="M264" s="4">
        <f>MAX(0,AQ264-BK264)</f>
      </c>
      <c r="N264" s="4">
        <f>MAX(0,AR264-BL264)</f>
      </c>
      <c r="O264" s="4">
        <f>MAX(0,AS264-BM264)</f>
      </c>
      <c r="P264" s="4">
        <f>MAX(0,AT264-BN264)</f>
      </c>
      <c r="Q264" s="4">
        <f>IF(G263&gt;0,G263*($J$5/100/12),0)</f>
      </c>
      <c r="R264" s="4">
        <f>IF(H263&gt;0,H263*($J$6/100/12),0)</f>
      </c>
      <c r="S264" s="4">
        <f>IF(I263&gt;0,I263*($J$7/100/12),0)</f>
      </c>
      <c r="T264" s="4">
        <f>IF(J263&gt;0,J263*($J$8/100/12),0)</f>
      </c>
      <c r="U264" s="4">
        <f>IF(K263&gt;0,K263*($J$9/100/12),0)</f>
      </c>
      <c r="V264" s="4">
        <f>IF(L263&gt;0,L263*($J$10/100/12),0)</f>
      </c>
      <c r="W264" s="4">
        <f>IF(M263&gt;0,M263*($J$11/100/12),0)</f>
      </c>
      <c r="X264" s="4">
        <f>IF(N263&gt;0,N263*($J$12/100/12),0)</f>
      </c>
      <c r="Y264" s="4">
        <f>IF(O263&gt;0,O263*($J$13/100/12),0)</f>
      </c>
      <c r="Z264" s="4">
        <f>IF(P263&gt;0,P263*($J$14/100/12),0)</f>
      </c>
      <c r="AA264" s="4">
        <f>IF(G263&lt;=0,0,MIN($K$5,(G263+Q264)))</f>
      </c>
      <c r="AB264" s="4">
        <f>IF(H263&lt;=0,0,MIN($K$6,(H263+R264)))</f>
      </c>
      <c r="AC264" s="4">
        <f>IF(I263&lt;=0,0,MIN($K$7,(I263+S264)))</f>
      </c>
      <c r="AD264" s="4">
        <f>IF(J263&lt;=0,0,MIN($K$8,(J263+T264)))</f>
      </c>
      <c r="AE264" s="4">
        <f>IF(K263&lt;=0,0,MIN($K$9,(K263+U264)))</f>
      </c>
      <c r="AF264" s="4">
        <f>IF(L263&lt;=0,0,MIN($K$10,(L263+V264)))</f>
      </c>
      <c r="AG264" s="4">
        <f>IF(M263&lt;=0,0,MIN($K$11,(M263+W264)))</f>
      </c>
      <c r="AH264" s="4">
        <f>IF(N263&lt;=0,0,MIN($K$12,(N263+X264)))</f>
      </c>
      <c r="AI264" s="4">
        <f>IF(O263&lt;=0,0,MIN($K$13,(O263+Y264)))</f>
      </c>
      <c r="AJ264" s="4">
        <f>IF(P263&lt;=0,0,MIN($K$14,(P263+Z264)))</f>
      </c>
      <c r="AK264" s="4">
        <f>(G263+Q264)-AA264</f>
      </c>
      <c r="AL264" s="4">
        <f>(H263+R264)-AB264</f>
      </c>
      <c r="AM264" s="4">
        <f>(I263+S264)-AC264</f>
      </c>
      <c r="AN264" s="4">
        <f>(J263+T264)-AD264</f>
      </c>
      <c r="AO264" s="4">
        <f>(K263+U264)-AE264</f>
      </c>
      <c r="AP264" s="4">
        <f>(L263+V264)-AF264</f>
      </c>
      <c r="AQ264" s="4">
        <f>(M263+W264)-AG264</f>
      </c>
      <c r="AR264" s="4">
        <f>(N263+X264)-AH264</f>
      </c>
      <c r="AS264" s="4">
        <f>(O263+Y264)-AI264</f>
      </c>
      <c r="AT264" s="4">
        <f>(P263+Z264)-AJ264</f>
      </c>
      <c r="AU264" s="4">
        <f>$B$16+SUM($K$5:$K$14)-SUM(AA264:AJ264)</f>
      </c>
      <c r="AV264" s="4">
        <f>AU264-BE264</f>
      </c>
      <c r="AW264" s="4">
        <f>AV264-BF264</f>
      </c>
      <c r="AX264" s="4">
        <f>AW264-BG264</f>
      </c>
      <c r="AY264" s="4">
        <f>AX264-BH264</f>
      </c>
      <c r="AZ264" s="4">
        <f>AY264-BI264</f>
      </c>
      <c r="BA264" s="4">
        <f>AZ264-BJ264</f>
      </c>
      <c r="BB264" s="4">
        <f>BA264-BK264</f>
      </c>
      <c r="BC264" s="4">
        <f>BB264-BL264</f>
      </c>
      <c r="BD264" s="4">
        <f>BC264-BM264</f>
      </c>
      <c r="BE264" s="4">
        <f>IF(G263&lt;=0,0,MIN(AU264,AK264))</f>
      </c>
      <c r="BF264" s="4">
        <f>IF(H263&lt;=0,0,MIN(AV264,AL264))</f>
      </c>
      <c r="BG264" s="4">
        <f>IF(I263&lt;=0,0,MIN(AW264,AM264))</f>
      </c>
      <c r="BH264" s="4">
        <f>IF(J263&lt;=0,0,MIN(AX264,AN264))</f>
      </c>
      <c r="BI264" s="4">
        <f>IF(K263&lt;=0,0,MIN(AY264,AO264))</f>
      </c>
      <c r="BJ264" s="4">
        <f>IF(L263&lt;=0,0,MIN(AZ264,AP264))</f>
      </c>
      <c r="BK264" s="4">
        <f>IF(M263&lt;=0,0,MIN(BA264,AQ264))</f>
      </c>
      <c r="BL264" s="4">
        <f>IF(N263&lt;=0,0,MIN(BB264,AR264))</f>
      </c>
      <c r="BM264" s="4">
        <f>IF(O263&lt;=0,0,MIN(BC264,AS264))</f>
      </c>
      <c r="BN264" s="4">
        <f>IF(P263&lt;=0,0,MIN(BD264,AT264))</f>
      </c>
    </row>
    <row r="265" spans="1:66" x14ac:dyDescent="0.25">
      <c r="A265">
        <v>238</v>
      </c>
      <c r="B265" s="7">
        <f>EDATE($B$17,238)</f>
      </c>
      <c r="C265" s="4">
        <f>SUM(G265:P265)</f>
      </c>
      <c r="D265" s="4">
        <f>SUM(Q265:Z265)</f>
      </c>
      <c r="E265" s="4">
        <f>SUM(AA265:AJ265)+SUM(BE265:BN265)</f>
      </c>
      <c r="G265" s="4">
        <f>MAX(0,AK265-BE265)</f>
      </c>
      <c r="H265" s="4">
        <f>MAX(0,AL265-BF265)</f>
      </c>
      <c r="I265" s="4">
        <f>MAX(0,AM265-BG265)</f>
      </c>
      <c r="J265" s="4">
        <f>MAX(0,AN265-BH265)</f>
      </c>
      <c r="K265" s="4">
        <f>MAX(0,AO265-BI265)</f>
      </c>
      <c r="L265" s="4">
        <f>MAX(0,AP265-BJ265)</f>
      </c>
      <c r="M265" s="4">
        <f>MAX(0,AQ265-BK265)</f>
      </c>
      <c r="N265" s="4">
        <f>MAX(0,AR265-BL265)</f>
      </c>
      <c r="O265" s="4">
        <f>MAX(0,AS265-BM265)</f>
      </c>
      <c r="P265" s="4">
        <f>MAX(0,AT265-BN265)</f>
      </c>
      <c r="Q265" s="4">
        <f>IF(G264&gt;0,G264*($J$5/100/12),0)</f>
      </c>
      <c r="R265" s="4">
        <f>IF(H264&gt;0,H264*($J$6/100/12),0)</f>
      </c>
      <c r="S265" s="4">
        <f>IF(I264&gt;0,I264*($J$7/100/12),0)</f>
      </c>
      <c r="T265" s="4">
        <f>IF(J264&gt;0,J264*($J$8/100/12),0)</f>
      </c>
      <c r="U265" s="4">
        <f>IF(K264&gt;0,K264*($J$9/100/12),0)</f>
      </c>
      <c r="V265" s="4">
        <f>IF(L264&gt;0,L264*($J$10/100/12),0)</f>
      </c>
      <c r="W265" s="4">
        <f>IF(M264&gt;0,M264*($J$11/100/12),0)</f>
      </c>
      <c r="X265" s="4">
        <f>IF(N264&gt;0,N264*($J$12/100/12),0)</f>
      </c>
      <c r="Y265" s="4">
        <f>IF(O264&gt;0,O264*($J$13/100/12),0)</f>
      </c>
      <c r="Z265" s="4">
        <f>IF(P264&gt;0,P264*($J$14/100/12),0)</f>
      </c>
      <c r="AA265" s="4">
        <f>IF(G264&lt;=0,0,MIN($K$5,(G264+Q265)))</f>
      </c>
      <c r="AB265" s="4">
        <f>IF(H264&lt;=0,0,MIN($K$6,(H264+R265)))</f>
      </c>
      <c r="AC265" s="4">
        <f>IF(I264&lt;=0,0,MIN($K$7,(I264+S265)))</f>
      </c>
      <c r="AD265" s="4">
        <f>IF(J264&lt;=0,0,MIN($K$8,(J264+T265)))</f>
      </c>
      <c r="AE265" s="4">
        <f>IF(K264&lt;=0,0,MIN($K$9,(K264+U265)))</f>
      </c>
      <c r="AF265" s="4">
        <f>IF(L264&lt;=0,0,MIN($K$10,(L264+V265)))</f>
      </c>
      <c r="AG265" s="4">
        <f>IF(M264&lt;=0,0,MIN($K$11,(M264+W265)))</f>
      </c>
      <c r="AH265" s="4">
        <f>IF(N264&lt;=0,0,MIN($K$12,(N264+X265)))</f>
      </c>
      <c r="AI265" s="4">
        <f>IF(O264&lt;=0,0,MIN($K$13,(O264+Y265)))</f>
      </c>
      <c r="AJ265" s="4">
        <f>IF(P264&lt;=0,0,MIN($K$14,(P264+Z265)))</f>
      </c>
      <c r="AK265" s="4">
        <f>(G264+Q265)-AA265</f>
      </c>
      <c r="AL265" s="4">
        <f>(H264+R265)-AB265</f>
      </c>
      <c r="AM265" s="4">
        <f>(I264+S265)-AC265</f>
      </c>
      <c r="AN265" s="4">
        <f>(J264+T265)-AD265</f>
      </c>
      <c r="AO265" s="4">
        <f>(K264+U265)-AE265</f>
      </c>
      <c r="AP265" s="4">
        <f>(L264+V265)-AF265</f>
      </c>
      <c r="AQ265" s="4">
        <f>(M264+W265)-AG265</f>
      </c>
      <c r="AR265" s="4">
        <f>(N264+X265)-AH265</f>
      </c>
      <c r="AS265" s="4">
        <f>(O264+Y265)-AI265</f>
      </c>
      <c r="AT265" s="4">
        <f>(P264+Z265)-AJ265</f>
      </c>
      <c r="AU265" s="4">
        <f>$B$16+SUM($K$5:$K$14)-SUM(AA265:AJ265)</f>
      </c>
      <c r="AV265" s="4">
        <f>AU265-BE265</f>
      </c>
      <c r="AW265" s="4">
        <f>AV265-BF265</f>
      </c>
      <c r="AX265" s="4">
        <f>AW265-BG265</f>
      </c>
      <c r="AY265" s="4">
        <f>AX265-BH265</f>
      </c>
      <c r="AZ265" s="4">
        <f>AY265-BI265</f>
      </c>
      <c r="BA265" s="4">
        <f>AZ265-BJ265</f>
      </c>
      <c r="BB265" s="4">
        <f>BA265-BK265</f>
      </c>
      <c r="BC265" s="4">
        <f>BB265-BL265</f>
      </c>
      <c r="BD265" s="4">
        <f>BC265-BM265</f>
      </c>
      <c r="BE265" s="4">
        <f>IF(G264&lt;=0,0,MIN(AU265,AK265))</f>
      </c>
      <c r="BF265" s="4">
        <f>IF(H264&lt;=0,0,MIN(AV265,AL265))</f>
      </c>
      <c r="BG265" s="4">
        <f>IF(I264&lt;=0,0,MIN(AW265,AM265))</f>
      </c>
      <c r="BH265" s="4">
        <f>IF(J264&lt;=0,0,MIN(AX265,AN265))</f>
      </c>
      <c r="BI265" s="4">
        <f>IF(K264&lt;=0,0,MIN(AY265,AO265))</f>
      </c>
      <c r="BJ265" s="4">
        <f>IF(L264&lt;=0,0,MIN(AZ265,AP265))</f>
      </c>
      <c r="BK265" s="4">
        <f>IF(M264&lt;=0,0,MIN(BA265,AQ265))</f>
      </c>
      <c r="BL265" s="4">
        <f>IF(N264&lt;=0,0,MIN(BB265,AR265))</f>
      </c>
      <c r="BM265" s="4">
        <f>IF(O264&lt;=0,0,MIN(BC265,AS265))</f>
      </c>
      <c r="BN265" s="4">
        <f>IF(P264&lt;=0,0,MIN(BD265,AT265))</f>
      </c>
    </row>
    <row r="266" spans="1:66" x14ac:dyDescent="0.25">
      <c r="A266">
        <v>239</v>
      </c>
      <c r="B266" s="7">
        <f>EDATE($B$17,239)</f>
      </c>
      <c r="C266" s="4">
        <f>SUM(G266:P266)</f>
      </c>
      <c r="D266" s="4">
        <f>SUM(Q266:Z266)</f>
      </c>
      <c r="E266" s="4">
        <f>SUM(AA266:AJ266)+SUM(BE266:BN266)</f>
      </c>
      <c r="G266" s="4">
        <f>MAX(0,AK266-BE266)</f>
      </c>
      <c r="H266" s="4">
        <f>MAX(0,AL266-BF266)</f>
      </c>
      <c r="I266" s="4">
        <f>MAX(0,AM266-BG266)</f>
      </c>
      <c r="J266" s="4">
        <f>MAX(0,AN266-BH266)</f>
      </c>
      <c r="K266" s="4">
        <f>MAX(0,AO266-BI266)</f>
      </c>
      <c r="L266" s="4">
        <f>MAX(0,AP266-BJ266)</f>
      </c>
      <c r="M266" s="4">
        <f>MAX(0,AQ266-BK266)</f>
      </c>
      <c r="N266" s="4">
        <f>MAX(0,AR266-BL266)</f>
      </c>
      <c r="O266" s="4">
        <f>MAX(0,AS266-BM266)</f>
      </c>
      <c r="P266" s="4">
        <f>MAX(0,AT266-BN266)</f>
      </c>
      <c r="Q266" s="4">
        <f>IF(G265&gt;0,G265*($J$5/100/12),0)</f>
      </c>
      <c r="R266" s="4">
        <f>IF(H265&gt;0,H265*($J$6/100/12),0)</f>
      </c>
      <c r="S266" s="4">
        <f>IF(I265&gt;0,I265*($J$7/100/12),0)</f>
      </c>
      <c r="T266" s="4">
        <f>IF(J265&gt;0,J265*($J$8/100/12),0)</f>
      </c>
      <c r="U266" s="4">
        <f>IF(K265&gt;0,K265*($J$9/100/12),0)</f>
      </c>
      <c r="V266" s="4">
        <f>IF(L265&gt;0,L265*($J$10/100/12),0)</f>
      </c>
      <c r="W266" s="4">
        <f>IF(M265&gt;0,M265*($J$11/100/12),0)</f>
      </c>
      <c r="X266" s="4">
        <f>IF(N265&gt;0,N265*($J$12/100/12),0)</f>
      </c>
      <c r="Y266" s="4">
        <f>IF(O265&gt;0,O265*($J$13/100/12),0)</f>
      </c>
      <c r="Z266" s="4">
        <f>IF(P265&gt;0,P265*($J$14/100/12),0)</f>
      </c>
      <c r="AA266" s="4">
        <f>IF(G265&lt;=0,0,MIN($K$5,(G265+Q266)))</f>
      </c>
      <c r="AB266" s="4">
        <f>IF(H265&lt;=0,0,MIN($K$6,(H265+R266)))</f>
      </c>
      <c r="AC266" s="4">
        <f>IF(I265&lt;=0,0,MIN($K$7,(I265+S266)))</f>
      </c>
      <c r="AD266" s="4">
        <f>IF(J265&lt;=0,0,MIN($K$8,(J265+T266)))</f>
      </c>
      <c r="AE266" s="4">
        <f>IF(K265&lt;=0,0,MIN($K$9,(K265+U266)))</f>
      </c>
      <c r="AF266" s="4">
        <f>IF(L265&lt;=0,0,MIN($K$10,(L265+V266)))</f>
      </c>
      <c r="AG266" s="4">
        <f>IF(M265&lt;=0,0,MIN($K$11,(M265+W266)))</f>
      </c>
      <c r="AH266" s="4">
        <f>IF(N265&lt;=0,0,MIN($K$12,(N265+X266)))</f>
      </c>
      <c r="AI266" s="4">
        <f>IF(O265&lt;=0,0,MIN($K$13,(O265+Y266)))</f>
      </c>
      <c r="AJ266" s="4">
        <f>IF(P265&lt;=0,0,MIN($K$14,(P265+Z266)))</f>
      </c>
      <c r="AK266" s="4">
        <f>(G265+Q266)-AA266</f>
      </c>
      <c r="AL266" s="4">
        <f>(H265+R266)-AB266</f>
      </c>
      <c r="AM266" s="4">
        <f>(I265+S266)-AC266</f>
      </c>
      <c r="AN266" s="4">
        <f>(J265+T266)-AD266</f>
      </c>
      <c r="AO266" s="4">
        <f>(K265+U266)-AE266</f>
      </c>
      <c r="AP266" s="4">
        <f>(L265+V266)-AF266</f>
      </c>
      <c r="AQ266" s="4">
        <f>(M265+W266)-AG266</f>
      </c>
      <c r="AR266" s="4">
        <f>(N265+X266)-AH266</f>
      </c>
      <c r="AS266" s="4">
        <f>(O265+Y266)-AI266</f>
      </c>
      <c r="AT266" s="4">
        <f>(P265+Z266)-AJ266</f>
      </c>
      <c r="AU266" s="4">
        <f>$B$16+SUM($K$5:$K$14)-SUM(AA266:AJ266)</f>
      </c>
      <c r="AV266" s="4">
        <f>AU266-BE266</f>
      </c>
      <c r="AW266" s="4">
        <f>AV266-BF266</f>
      </c>
      <c r="AX266" s="4">
        <f>AW266-BG266</f>
      </c>
      <c r="AY266" s="4">
        <f>AX266-BH266</f>
      </c>
      <c r="AZ266" s="4">
        <f>AY266-BI266</f>
      </c>
      <c r="BA266" s="4">
        <f>AZ266-BJ266</f>
      </c>
      <c r="BB266" s="4">
        <f>BA266-BK266</f>
      </c>
      <c r="BC266" s="4">
        <f>BB266-BL266</f>
      </c>
      <c r="BD266" s="4">
        <f>BC266-BM266</f>
      </c>
      <c r="BE266" s="4">
        <f>IF(G265&lt;=0,0,MIN(AU266,AK266))</f>
      </c>
      <c r="BF266" s="4">
        <f>IF(H265&lt;=0,0,MIN(AV266,AL266))</f>
      </c>
      <c r="BG266" s="4">
        <f>IF(I265&lt;=0,0,MIN(AW266,AM266))</f>
      </c>
      <c r="BH266" s="4">
        <f>IF(J265&lt;=0,0,MIN(AX266,AN266))</f>
      </c>
      <c r="BI266" s="4">
        <f>IF(K265&lt;=0,0,MIN(AY266,AO266))</f>
      </c>
      <c r="BJ266" s="4">
        <f>IF(L265&lt;=0,0,MIN(AZ266,AP266))</f>
      </c>
      <c r="BK266" s="4">
        <f>IF(M265&lt;=0,0,MIN(BA266,AQ266))</f>
      </c>
      <c r="BL266" s="4">
        <f>IF(N265&lt;=0,0,MIN(BB266,AR266))</f>
      </c>
      <c r="BM266" s="4">
        <f>IF(O265&lt;=0,0,MIN(BC266,AS266))</f>
      </c>
      <c r="BN266" s="4">
        <f>IF(P265&lt;=0,0,MIN(BD266,AT266))</f>
      </c>
    </row>
    <row r="267" spans="1:66" x14ac:dyDescent="0.25">
      <c r="A267">
        <v>240</v>
      </c>
      <c r="B267" s="7">
        <f>EDATE($B$17,240)</f>
      </c>
      <c r="C267" s="4">
        <f>SUM(G267:P267)</f>
      </c>
      <c r="D267" s="4">
        <f>SUM(Q267:Z267)</f>
      </c>
      <c r="E267" s="4">
        <f>SUM(AA267:AJ267)+SUM(BE267:BN267)</f>
      </c>
      <c r="G267" s="4">
        <f>MAX(0,AK267-BE267)</f>
      </c>
      <c r="H267" s="4">
        <f>MAX(0,AL267-BF267)</f>
      </c>
      <c r="I267" s="4">
        <f>MAX(0,AM267-BG267)</f>
      </c>
      <c r="J267" s="4">
        <f>MAX(0,AN267-BH267)</f>
      </c>
      <c r="K267" s="4">
        <f>MAX(0,AO267-BI267)</f>
      </c>
      <c r="L267" s="4">
        <f>MAX(0,AP267-BJ267)</f>
      </c>
      <c r="M267" s="4">
        <f>MAX(0,AQ267-BK267)</f>
      </c>
      <c r="N267" s="4">
        <f>MAX(0,AR267-BL267)</f>
      </c>
      <c r="O267" s="4">
        <f>MAX(0,AS267-BM267)</f>
      </c>
      <c r="P267" s="4">
        <f>MAX(0,AT267-BN267)</f>
      </c>
      <c r="Q267" s="4">
        <f>IF(G266&gt;0,G266*($J$5/100/12),0)</f>
      </c>
      <c r="R267" s="4">
        <f>IF(H266&gt;0,H266*($J$6/100/12),0)</f>
      </c>
      <c r="S267" s="4">
        <f>IF(I266&gt;0,I266*($J$7/100/12),0)</f>
      </c>
      <c r="T267" s="4">
        <f>IF(J266&gt;0,J266*($J$8/100/12),0)</f>
      </c>
      <c r="U267" s="4">
        <f>IF(K266&gt;0,K266*($J$9/100/12),0)</f>
      </c>
      <c r="V267" s="4">
        <f>IF(L266&gt;0,L266*($J$10/100/12),0)</f>
      </c>
      <c r="W267" s="4">
        <f>IF(M266&gt;0,M266*($J$11/100/12),0)</f>
      </c>
      <c r="X267" s="4">
        <f>IF(N266&gt;0,N266*($J$12/100/12),0)</f>
      </c>
      <c r="Y267" s="4">
        <f>IF(O266&gt;0,O266*($J$13/100/12),0)</f>
      </c>
      <c r="Z267" s="4">
        <f>IF(P266&gt;0,P266*($J$14/100/12),0)</f>
      </c>
      <c r="AA267" s="4">
        <f>IF(G266&lt;=0,0,MIN($K$5,(G266+Q267)))</f>
      </c>
      <c r="AB267" s="4">
        <f>IF(H266&lt;=0,0,MIN($K$6,(H266+R267)))</f>
      </c>
      <c r="AC267" s="4">
        <f>IF(I266&lt;=0,0,MIN($K$7,(I266+S267)))</f>
      </c>
      <c r="AD267" s="4">
        <f>IF(J266&lt;=0,0,MIN($K$8,(J266+T267)))</f>
      </c>
      <c r="AE267" s="4">
        <f>IF(K266&lt;=0,0,MIN($K$9,(K266+U267)))</f>
      </c>
      <c r="AF267" s="4">
        <f>IF(L266&lt;=0,0,MIN($K$10,(L266+V267)))</f>
      </c>
      <c r="AG267" s="4">
        <f>IF(M266&lt;=0,0,MIN($K$11,(M266+W267)))</f>
      </c>
      <c r="AH267" s="4">
        <f>IF(N266&lt;=0,0,MIN($K$12,(N266+X267)))</f>
      </c>
      <c r="AI267" s="4">
        <f>IF(O266&lt;=0,0,MIN($K$13,(O266+Y267)))</f>
      </c>
      <c r="AJ267" s="4">
        <f>IF(P266&lt;=0,0,MIN($K$14,(P266+Z267)))</f>
      </c>
      <c r="AK267" s="4">
        <f>(G266+Q267)-AA267</f>
      </c>
      <c r="AL267" s="4">
        <f>(H266+R267)-AB267</f>
      </c>
      <c r="AM267" s="4">
        <f>(I266+S267)-AC267</f>
      </c>
      <c r="AN267" s="4">
        <f>(J266+T267)-AD267</f>
      </c>
      <c r="AO267" s="4">
        <f>(K266+U267)-AE267</f>
      </c>
      <c r="AP267" s="4">
        <f>(L266+V267)-AF267</f>
      </c>
      <c r="AQ267" s="4">
        <f>(M266+W267)-AG267</f>
      </c>
      <c r="AR267" s="4">
        <f>(N266+X267)-AH267</f>
      </c>
      <c r="AS267" s="4">
        <f>(O266+Y267)-AI267</f>
      </c>
      <c r="AT267" s="4">
        <f>(P266+Z267)-AJ267</f>
      </c>
      <c r="AU267" s="4">
        <f>$B$16+SUM($K$5:$K$14)-SUM(AA267:AJ267)</f>
      </c>
      <c r="AV267" s="4">
        <f>AU267-BE267</f>
      </c>
      <c r="AW267" s="4">
        <f>AV267-BF267</f>
      </c>
      <c r="AX267" s="4">
        <f>AW267-BG267</f>
      </c>
      <c r="AY267" s="4">
        <f>AX267-BH267</f>
      </c>
      <c r="AZ267" s="4">
        <f>AY267-BI267</f>
      </c>
      <c r="BA267" s="4">
        <f>AZ267-BJ267</f>
      </c>
      <c r="BB267" s="4">
        <f>BA267-BK267</f>
      </c>
      <c r="BC267" s="4">
        <f>BB267-BL267</f>
      </c>
      <c r="BD267" s="4">
        <f>BC267-BM267</f>
      </c>
      <c r="BE267" s="4">
        <f>IF(G266&lt;=0,0,MIN(AU267,AK267))</f>
      </c>
      <c r="BF267" s="4">
        <f>IF(H266&lt;=0,0,MIN(AV267,AL267))</f>
      </c>
      <c r="BG267" s="4">
        <f>IF(I266&lt;=0,0,MIN(AW267,AM267))</f>
      </c>
      <c r="BH267" s="4">
        <f>IF(J266&lt;=0,0,MIN(AX267,AN267))</f>
      </c>
      <c r="BI267" s="4">
        <f>IF(K266&lt;=0,0,MIN(AY267,AO267))</f>
      </c>
      <c r="BJ267" s="4">
        <f>IF(L266&lt;=0,0,MIN(AZ267,AP267))</f>
      </c>
      <c r="BK267" s="4">
        <f>IF(M266&lt;=0,0,MIN(BA267,AQ267))</f>
      </c>
      <c r="BL267" s="4">
        <f>IF(N266&lt;=0,0,MIN(BB267,AR267))</f>
      </c>
      <c r="BM267" s="4">
        <f>IF(O266&lt;=0,0,MIN(BC267,AS267))</f>
      </c>
      <c r="BN267" s="4">
        <f>IF(P266&lt;=0,0,MIN(BD267,AT267))</f>
      </c>
    </row>
    <row r="269" spans="1:5" x14ac:dyDescent="0.25">
      <c r="A269" s="11" t="s">
        <v>22</v>
      </c>
      <c r="B269" s="11"/>
      <c r="C269" s="11"/>
      <c r="D269" s="11"/>
      <c r="E269" s="11"/>
    </row>
    <row r="270" spans="1:5" x14ac:dyDescent="0.25">
      <c r="A270" s="12" t="s">
        <v>23</v>
      </c>
      <c r="B270" s="12"/>
      <c r="C270" s="12"/>
      <c r="D270" s="12"/>
      <c r="E270" s="12"/>
    </row>
  </sheetData>
  <mergeCells count="3">
    <mergeCell ref="A1:D1"/>
    <mergeCell ref="A269:E269"/>
    <mergeCell ref="A270:E27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Snowball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Atlas</dc:creator>
  <dc:title/>
  <dc:subject/>
  <dc:description/>
  <cp:keywords/>
  <cp:category/>
  <cp:lastModifiedBy>Unknown</cp:lastModifiedBy>
  <dcterms:created xsi:type="dcterms:W3CDTF">2026-07-14T16:19:15Z</dcterms:created>
  <dcterms:modified xsi:type="dcterms:W3CDTF">2026-07-14T16:19:15Z</dcterms:modified>
</cp:coreProperties>
</file>